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High-Low" sheetId="1" r:id="rId1"/>
    <sheet name="Regression" sheetId="2" r:id="rId2"/>
    <sheet name="Flexible Budget" sheetId="3" r:id="rId3"/>
    <sheet name="sales variance" sheetId="4" r:id="rId4"/>
    <sheet name="material variance" sheetId="5" r:id="rId5"/>
    <sheet name="material variance2" sheetId="6" r:id="rId6"/>
    <sheet name="variable ohvar" sheetId="7" r:id="rId7"/>
    <sheet name="fixed ohvar" sheetId="8" r:id="rId8"/>
    <sheet name="ThreeWay" sheetId="9" r:id="rId9"/>
    <sheet name="TotalVariance" sheetId="10" r:id="rId10"/>
    <sheet name="MixVariance" sheetId="11" r:id="rId11"/>
    <sheet name="YieldVariance" sheetId="12" r:id="rId12"/>
    <sheet name="ProfitVariance" sheetId="13" r:id="rId13"/>
  </sheets>
  <definedNames>
    <definedName name="d" localSheetId="0">'High-Low'!$B$22</definedName>
    <definedName name="d" localSheetId="1">'Regression'!$B$19</definedName>
    <definedName name="k" localSheetId="0">'High-Low'!$B$21</definedName>
    <definedName name="k" localSheetId="1">'Regression'!$B$18</definedName>
    <definedName name="x" localSheetId="0">'High-Low'!$B$5:$B$16</definedName>
    <definedName name="x" localSheetId="1">'Regression'!$B$5:$B$16</definedName>
    <definedName name="y" localSheetId="0">'High-Low'!$C$5:$C$16</definedName>
    <definedName name="y" localSheetId="1">'Regression'!$C$5:$C$16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Dr. H?rmann</author>
  </authors>
  <commentList>
    <comment ref="B4" authorId="0">
      <text>
        <r>
          <rPr>
            <b/>
            <sz val="8"/>
            <rFont val="Tahoma"/>
            <family val="0"/>
          </rPr>
          <t>ACHTUNG!
Für die Grafik Tabelle nach Arbeitsstunden (x) sortieren!</t>
        </r>
      </text>
    </comment>
  </commentList>
</comments>
</file>

<file path=xl/comments2.xml><?xml version="1.0" encoding="utf-8"?>
<comments xmlns="http://schemas.openxmlformats.org/spreadsheetml/2006/main">
  <authors>
    <author>Dr. H?rmann</author>
  </authors>
  <commentList>
    <comment ref="B4" authorId="0">
      <text>
        <r>
          <rPr>
            <b/>
            <sz val="8"/>
            <rFont val="Tahoma"/>
            <family val="0"/>
          </rPr>
          <t>ACHTUNG!
Für die Grafik Tabelle nach Arbeitsstunden (x) sortieren!</t>
        </r>
      </text>
    </comment>
  </commentList>
</comments>
</file>

<file path=xl/sharedStrings.xml><?xml version="1.0" encoding="utf-8"?>
<sst xmlns="http://schemas.openxmlformats.org/spreadsheetml/2006/main" count="648" uniqueCount="346">
  <si>
    <t>Kostenauflösung nach der High-Low Method</t>
  </si>
  <si>
    <t>Monat</t>
  </si>
  <si>
    <t>Arbeitsstunden (x)</t>
  </si>
  <si>
    <t>Gemeinkosten (y)</t>
  </si>
  <si>
    <t>k</t>
  </si>
  <si>
    <t>d</t>
  </si>
  <si>
    <t>Geradengleichung daher:</t>
  </si>
  <si>
    <t>y'</t>
  </si>
  <si>
    <t>Kostenauflösung nach Regressionsmethode</t>
  </si>
  <si>
    <t>Minimum(y)</t>
  </si>
  <si>
    <t>Maximum(y)</t>
  </si>
  <si>
    <r>
      <t>R</t>
    </r>
    <r>
      <rPr>
        <b/>
        <vertAlign val="superscript"/>
        <sz val="12"/>
        <rFont val="Arial"/>
        <family val="2"/>
      </rPr>
      <t>2</t>
    </r>
  </si>
  <si>
    <t>Anzahl Arbeitsstd.</t>
  </si>
  <si>
    <t>Gesamtkosten</t>
  </si>
  <si>
    <t>Gesamtkosten (y')</t>
  </si>
  <si>
    <t>Flexible Budgets im praktischen Einsatz</t>
  </si>
  <si>
    <t>Plan-Menge</t>
  </si>
  <si>
    <t>Ist-Menge</t>
  </si>
  <si>
    <t>Fertigungslöhne</t>
  </si>
  <si>
    <t>variable Gemeinkosten</t>
  </si>
  <si>
    <t xml:space="preserve">   Fertigungsgemeinkosten</t>
  </si>
  <si>
    <t xml:space="preserve">   Hilfsmaterial</t>
  </si>
  <si>
    <t xml:space="preserve">   Reparaturen</t>
  </si>
  <si>
    <t>Abweichungsanalyse starres Budget</t>
  </si>
  <si>
    <t>Produzierte Stückzahl</t>
  </si>
  <si>
    <t>Plan</t>
  </si>
  <si>
    <t>Ist</t>
  </si>
  <si>
    <t>Abweichung</t>
  </si>
  <si>
    <t>Abweichungsanalyse flexibles Budget</t>
  </si>
  <si>
    <t>Stück-</t>
  </si>
  <si>
    <t>kosten</t>
  </si>
  <si>
    <t>Beispiel zur Funktion der sales variance</t>
  </si>
  <si>
    <t>Budgetierte Verkaufszahlen für das Jahr X</t>
  </si>
  <si>
    <t>Produkt A</t>
  </si>
  <si>
    <t>Stückpreis</t>
  </si>
  <si>
    <t>Absatzmenge</t>
  </si>
  <si>
    <t>Produkt B</t>
  </si>
  <si>
    <t>Planumsatz</t>
  </si>
  <si>
    <t>Geplanter Gesamtumsatz</t>
  </si>
  <si>
    <t>Ist-Verkaufszahlen für das Jahr X</t>
  </si>
  <si>
    <t>sales variance</t>
  </si>
  <si>
    <t>Preisabweichung</t>
  </si>
  <si>
    <t>(Ist-Preis - Plan-Preis) x Ist-Menge</t>
  </si>
  <si>
    <t>Gesamte Preisabweichung</t>
  </si>
  <si>
    <t>Mengenabweichung</t>
  </si>
  <si>
    <t>(Ist-Menge - Plan-Menge) x Plan-Preis</t>
  </si>
  <si>
    <t>Gesamte Mengenabweichung</t>
  </si>
  <si>
    <t>Beispiel zur Funktion der material variance</t>
  </si>
  <si>
    <t>Anzahl Fertigungsmaterial</t>
  </si>
  <si>
    <t>Stückkosten Fertigungsmaterial</t>
  </si>
  <si>
    <t>Ist-Kosten einer Output-Einheit</t>
  </si>
  <si>
    <t>Standardkosten einer Output-Einheit</t>
  </si>
  <si>
    <t>Anzahl produzierte Stück Output</t>
  </si>
  <si>
    <t>Verbrauchsabweichung</t>
  </si>
  <si>
    <t>(Plan-Menge x Plan-Preis) - (Ist-Menge x Ist-Preis)</t>
  </si>
  <si>
    <t>Plan-Menge x Plan-Preis</t>
  </si>
  <si>
    <t>Ist-Menge x Ist-Preis</t>
  </si>
  <si>
    <t>(Plan-Preis - Ist-Preis) x Ist-Menge</t>
  </si>
  <si>
    <t>(Plan-Menge - Ist-Menge) x Plan-Preis</t>
  </si>
  <si>
    <t>Eingekaufte Menge Material (kg)</t>
  </si>
  <si>
    <t>verarbeitete Menge Material (kg)</t>
  </si>
  <si>
    <t>Material pro Output-Einheit (kg)</t>
  </si>
  <si>
    <t>Plan-Preis pro kg</t>
  </si>
  <si>
    <t>Ist-Preis pro kg</t>
  </si>
  <si>
    <t>Anzahl produzierte Stück</t>
  </si>
  <si>
    <t>Beispiel zur variablen Gemeinkostenabweichung</t>
  </si>
  <si>
    <t>Standardgemeinkosten pro Std.</t>
  </si>
  <si>
    <t>variable Ist-Gemeinkosten</t>
  </si>
  <si>
    <t>gesamte Ist-Fertigungsstunden</t>
  </si>
  <si>
    <t>Ist-Stückzahl</t>
  </si>
  <si>
    <t>variable Gemeinkosten-Preisabweichung</t>
  </si>
  <si>
    <t>var. Ist-GK - var. PlanGK der Ist-Beschäftigung</t>
  </si>
  <si>
    <t>var. PlanGK der Ist-Beschäftigung</t>
  </si>
  <si>
    <t>variable Gemeinkosten-Effizienzabweichung</t>
  </si>
  <si>
    <t>var. PlanGK der Ist-Besch. - var. PlanGK der Plan-Besch.</t>
  </si>
  <si>
    <t>var. PlanGK der Plan-Beschäftigung</t>
  </si>
  <si>
    <t>Beispiel zur fixen Gemeinkostenabweichung</t>
  </si>
  <si>
    <t>Standardfertigungszeit pro Stück (Std.)</t>
  </si>
  <si>
    <t>fixe Plan-Gemeinkosten pro Std.</t>
  </si>
  <si>
    <t>Ist-Fertigungszeit pro Stück (Std.)</t>
  </si>
  <si>
    <t>Anzahl Ist-Fertigungsstunden</t>
  </si>
  <si>
    <t>fixe Ist-Gemeinkosten in Summe</t>
  </si>
  <si>
    <t>Geplante Stückzahl</t>
  </si>
  <si>
    <t>Fixe Gemeinkostenabweichung</t>
  </si>
  <si>
    <t>fixe Ist-Gmeinkosten in Summe</t>
  </si>
  <si>
    <t>fixe Plan-Gemeinkosten in Summe</t>
  </si>
  <si>
    <t>fixe Plan-GK der Ist-Beschäftigung</t>
  </si>
  <si>
    <t>Fixe Gemeinkosten-Effizienzabweichung</t>
  </si>
  <si>
    <t>... weitere Analyse der Mengenabweichung:</t>
  </si>
  <si>
    <t>Fixe Gemeinkosten-Mengenabweichung</t>
  </si>
  <si>
    <t>Beispiel zur dreistufigen Abweichungsanalyse</t>
  </si>
  <si>
    <t>Beispiel zur vollständigen Abweichungsanalyse</t>
  </si>
  <si>
    <t>Variable Gemeinkosten</t>
  </si>
  <si>
    <t>Fixe Gemeinkosten</t>
  </si>
  <si>
    <t>Plangrößen:</t>
  </si>
  <si>
    <t>zu je</t>
  </si>
  <si>
    <t xml:space="preserve"> =</t>
  </si>
  <si>
    <t>pro Stück</t>
  </si>
  <si>
    <t>Ist-Werte:</t>
  </si>
  <si>
    <t>Tatsächliche Arbeitsstunden</t>
  </si>
  <si>
    <t>Teil 1: Einfache Abweichungsanalyse</t>
  </si>
  <si>
    <t>Steuerungsabweichung</t>
  </si>
  <si>
    <t>Ist-Gemeinkosten</t>
  </si>
  <si>
    <t>Plan-Gemeinkosten</t>
  </si>
  <si>
    <t>Teil 2: Doppelte Abweichungsanalyse</t>
  </si>
  <si>
    <t>Steuerbare Abweichung</t>
  </si>
  <si>
    <t>Plankosten der</t>
  </si>
  <si>
    <t xml:space="preserve">Plankosten der </t>
  </si>
  <si>
    <t>Teil 3: Dreifache Abweichungsanalyse</t>
  </si>
  <si>
    <t>Auszahlungsabweichung</t>
  </si>
  <si>
    <t>Ist-Arbeitsstunden</t>
  </si>
  <si>
    <t>Effizienzabweichung</t>
  </si>
  <si>
    <t>Standardkosten</t>
  </si>
  <si>
    <t>(standards)</t>
  </si>
  <si>
    <t>Fertigungsmaterial</t>
  </si>
  <si>
    <t>(direct material)</t>
  </si>
  <si>
    <t>(direct labor)</t>
  </si>
  <si>
    <t>(variable overhead)</t>
  </si>
  <si>
    <t>fixe Gemeinkosten</t>
  </si>
  <si>
    <t>(fixed overhead)</t>
  </si>
  <si>
    <t>kg zu je</t>
  </si>
  <si>
    <t>Std. zu je</t>
  </si>
  <si>
    <t>Ist-Kosten</t>
  </si>
  <si>
    <t>(actual data)</t>
  </si>
  <si>
    <t>(production units)</t>
  </si>
  <si>
    <t>(denominator - budget - activity)</t>
  </si>
  <si>
    <t>Materialeinkauf</t>
  </si>
  <si>
    <t>(purchases)</t>
  </si>
  <si>
    <t>kg =</t>
  </si>
  <si>
    <t>(direct material used)</t>
  </si>
  <si>
    <t>kg</t>
  </si>
  <si>
    <t>Std. =</t>
  </si>
  <si>
    <t>Teil 1: Materialabweichungen</t>
  </si>
  <si>
    <t>Materialpreisabweichung</t>
  </si>
  <si>
    <t>(material price variance)</t>
  </si>
  <si>
    <t>(actual price versus standard price) x actual quantity bought</t>
  </si>
  <si>
    <t>Materialmengenabweichung</t>
  </si>
  <si>
    <t>(material quantity variance)</t>
  </si>
  <si>
    <t>(actual quantity issued versus standard quantity) x standard price</t>
  </si>
  <si>
    <t>Teil 2: Arbeitszeitabweichungen</t>
  </si>
  <si>
    <t>(control variance)</t>
  </si>
  <si>
    <t>standard quantity x standard price</t>
  </si>
  <si>
    <t xml:space="preserve"> x</t>
  </si>
  <si>
    <t>actual quantity x actual price</t>
  </si>
  <si>
    <t>control variance</t>
  </si>
  <si>
    <t>(labor price variance)</t>
  </si>
  <si>
    <t>(actual price versus standard price) x actual quantity</t>
  </si>
  <si>
    <t>(labor quantity variance)</t>
  </si>
  <si>
    <t>(actual quantity versus standard quantity) x standard price</t>
  </si>
  <si>
    <t>Teil 3: Variable Gemeinkosten</t>
  </si>
  <si>
    <t>(variable overhead price variance)</t>
  </si>
  <si>
    <t>actual variable overhead</t>
  </si>
  <si>
    <t>budget adjusted to actual hours</t>
  </si>
  <si>
    <t>(variable overhead efficiency variance)</t>
  </si>
  <si>
    <t>budget adjusted to standard hours</t>
  </si>
  <si>
    <t>Teil 4: Fixe Gemeinkosten</t>
  </si>
  <si>
    <t>Budgetabweichung</t>
  </si>
  <si>
    <t>(fixed overhead budget variance)</t>
  </si>
  <si>
    <t>actual fixed overhead</t>
  </si>
  <si>
    <t>budgeted fixed overhead</t>
  </si>
  <si>
    <t>(fixed overhead volume variance)</t>
  </si>
  <si>
    <t>standard overhead</t>
  </si>
  <si>
    <t>... weitere Aufgliederung ...</t>
  </si>
  <si>
    <t>(fixed overhead efficiency variance)</t>
  </si>
  <si>
    <t>(actual hours versus standard hours) x standard fixed ov. rate</t>
  </si>
  <si>
    <t>reine Mengenabweichung</t>
  </si>
  <si>
    <t>(fixed overhead pure volume variance)</t>
  </si>
  <si>
    <t>(actual hours versus budgeted hours) x standard fixed ov. rate</t>
  </si>
  <si>
    <t>Teil 5: Einfache Abweichungsanalyse (one-way analysis)</t>
  </si>
  <si>
    <t>Gemeinkostenabweichungsanalyse</t>
  </si>
  <si>
    <t>(total overhead variance)</t>
  </si>
  <si>
    <t>actual overhead</t>
  </si>
  <si>
    <t>Teil 6: Doppelte Abweichungsanalyse (two-way analysis)</t>
  </si>
  <si>
    <t>(controllable variance)</t>
  </si>
  <si>
    <t>fixed overhead</t>
  </si>
  <si>
    <t>variable overhead</t>
  </si>
  <si>
    <t>(volume variance)</t>
  </si>
  <si>
    <t>Teil 7: Dreifache Abweichungsanalyse (three-way analysis)</t>
  </si>
  <si>
    <t>(spending variance)</t>
  </si>
  <si>
    <t>(efficiency variance)</t>
  </si>
  <si>
    <t>In einem Unternehmen wird ein Materialgemisch, das aus</t>
  </si>
  <si>
    <t>den Materialien A und B besteht, erzeugt.</t>
  </si>
  <si>
    <t>Die Abgabemenge sind Packungen zu je</t>
  </si>
  <si>
    <t>Die Materialien können auch jeweils durch das andere ersetzt</t>
  </si>
  <si>
    <t>werden.</t>
  </si>
  <si>
    <t>Standard-Daten:</t>
  </si>
  <si>
    <t>Material A</t>
  </si>
  <si>
    <t>Material B</t>
  </si>
  <si>
    <t>Preis</t>
  </si>
  <si>
    <t>Standard</t>
  </si>
  <si>
    <t>Einheit</t>
  </si>
  <si>
    <t>Mischung</t>
  </si>
  <si>
    <t>Um eine Packung herzustellen sind</t>
  </si>
  <si>
    <t>Arbeit erforderlich.</t>
  </si>
  <si>
    <t>Es werden geschulte und ungeschulte Arbeiter beschäftigt, die in zwei</t>
  </si>
  <si>
    <t>Produktionsstufen (Produktion und Fertigstellung) tätig sind.</t>
  </si>
  <si>
    <t>Für eine Packung fallen folgende Lohnkosten an (Standard-Daten):</t>
  </si>
  <si>
    <t>Ungeschulte Arbeiter</t>
  </si>
  <si>
    <t>Geschulte Arbeiter</t>
  </si>
  <si>
    <t>Stand.Std.</t>
  </si>
  <si>
    <t>Lohnk./Std.</t>
  </si>
  <si>
    <t>Gesamt</t>
  </si>
  <si>
    <t>Im letzten Monat wurden</t>
  </si>
  <si>
    <t>Packungen</t>
  </si>
  <si>
    <t>erzeugt, wobei folgende Lohnkosten anfielen:</t>
  </si>
  <si>
    <t>Ist-Std.</t>
  </si>
  <si>
    <t>Ist-</t>
  </si>
  <si>
    <t>Folgende Ist-Materialkosten fielen an:</t>
  </si>
  <si>
    <t>Lager zu</t>
  </si>
  <si>
    <t>Beginn</t>
  </si>
  <si>
    <t>Zukauf</t>
  </si>
  <si>
    <t xml:space="preserve">Lager am </t>
  </si>
  <si>
    <t>Ende</t>
  </si>
  <si>
    <t>Folgende Abweichungen sind zu errechnen:</t>
  </si>
  <si>
    <t>a) Materialeinkaufspreis (material purchase price)</t>
  </si>
  <si>
    <t>b) Materialmix (material mix)</t>
  </si>
  <si>
    <t>c) Materialmenge (material quantity)</t>
  </si>
  <si>
    <t>d) Lohnstundensatz (labor rate)</t>
  </si>
  <si>
    <t>e) Arbeitsmix (labor mix)</t>
  </si>
  <si>
    <t>f) Arbeitseffizienz (labor efficiency)</t>
  </si>
  <si>
    <t>Materialpreis pro Stück</t>
  </si>
  <si>
    <t>Zugekaufte</t>
  </si>
  <si>
    <t>Menge</t>
  </si>
  <si>
    <t>Geplante</t>
  </si>
  <si>
    <t>standard mix</t>
  </si>
  <si>
    <t>Stk. zum</t>
  </si>
  <si>
    <t>Ist-mix</t>
  </si>
  <si>
    <t>zu Ist-mix</t>
  </si>
  <si>
    <t xml:space="preserve">Ist-Menge </t>
  </si>
  <si>
    <t>Tatsächlich verbrauchte Menge:</t>
  </si>
  <si>
    <t>Gesamte Materialabweichung (total material variance)</t>
  </si>
  <si>
    <t>Einkaufspreisabweichung</t>
  </si>
  <si>
    <t>Mix-Abweichung</t>
  </si>
  <si>
    <t>Mengen-Abweichung</t>
  </si>
  <si>
    <t>Gesamte Materialabweichung</t>
  </si>
  <si>
    <t>Die Gesamtabweichung geht praktisch ausschließlich auf die Mengenabweichung zurück.</t>
  </si>
  <si>
    <t>Daher sollten Abfälle und Ausschuß reduziert werden.</t>
  </si>
  <si>
    <t>Stundenlohnsätze</t>
  </si>
  <si>
    <t>Ist-Stunden</t>
  </si>
  <si>
    <t>zum</t>
  </si>
  <si>
    <t>Standard-Std.</t>
  </si>
  <si>
    <t>Stundensatz</t>
  </si>
  <si>
    <t>Gesamte Arbeitsabweichung (Total labor variance)</t>
  </si>
  <si>
    <t>Lohnstundensatz</t>
  </si>
  <si>
    <t>Arbeitsmix</t>
  </si>
  <si>
    <t>Arbeitseffizienz-Mix</t>
  </si>
  <si>
    <t>Gesamte Arbeitskostenabweichung</t>
  </si>
  <si>
    <t>Ermittlung der gesamten Arbeitskostenabweichung in einem Schritt</t>
  </si>
  <si>
    <t>Ist-Stundensatz</t>
  </si>
  <si>
    <t>Stunden</t>
  </si>
  <si>
    <t>Kosten</t>
  </si>
  <si>
    <t>Die negative Gesamtabweichung beruht auf</t>
  </si>
  <si>
    <t xml:space="preserve"> - ungeplanten Lohnerhöhungen</t>
  </si>
  <si>
    <t xml:space="preserve"> - einer ungünstigen Mischung von geschulten und ungeschulten Arbeitern</t>
  </si>
  <si>
    <t xml:space="preserve"> - einer positiven Arbeitseffizienz</t>
  </si>
  <si>
    <t>Mögliche Gründe dafür wären</t>
  </si>
  <si>
    <t xml:space="preserve"> - Notwendige Überstunden durch schlechte Produktionsplanung</t>
  </si>
  <si>
    <t xml:space="preserve"> - unnötiger Einsatz geschulter Arbeitskräfte</t>
  </si>
  <si>
    <t>Ein Chemiebetrieb erzeugt ein Produkt durch Mischung von drei Substanzen.</t>
  </si>
  <si>
    <t>Material C</t>
  </si>
  <si>
    <t>Es sollen</t>
  </si>
  <si>
    <t>produziert werden.</t>
  </si>
  <si>
    <t>Standard-Kosten je kg:</t>
  </si>
  <si>
    <t xml:space="preserve">Um die </t>
  </si>
  <si>
    <t>in</t>
  </si>
  <si>
    <t>zu transformieren sind</t>
  </si>
  <si>
    <t>Arbeitsstunden zu je</t>
  </si>
  <si>
    <t>erforderlich bzw.</t>
  </si>
  <si>
    <t>je kg.</t>
  </si>
  <si>
    <t>produziert.</t>
  </si>
  <si>
    <t>Materialzukauf</t>
  </si>
  <si>
    <t>Tatsächlicher Materialverbrauch:</t>
  </si>
  <si>
    <t>Materialverbrauch</t>
  </si>
  <si>
    <t>Ermitteln Sie sämtliche Material- und Arbeitskostenabweichungen!</t>
  </si>
  <si>
    <t>1) Materialkostenabweichungen</t>
  </si>
  <si>
    <t>Material purchase price variance</t>
  </si>
  <si>
    <t>Materialkosten pro Stück</t>
  </si>
  <si>
    <t>Material quantity variance</t>
  </si>
  <si>
    <t>Ist-Mengen</t>
  </si>
  <si>
    <t>zu Ist-Output</t>
  </si>
  <si>
    <t>Stückkosten</t>
  </si>
  <si>
    <t>Material mix variance</t>
  </si>
  <si>
    <t>Material yield variance</t>
  </si>
  <si>
    <t>bei standard-mix</t>
  </si>
  <si>
    <t>Material yield variance (2. Art der Berechnung)</t>
  </si>
  <si>
    <t>zu Standard-Preis</t>
  </si>
  <si>
    <t>Ist-Menge (input)</t>
  </si>
  <si>
    <t>Ist-Menge (output)</t>
  </si>
  <si>
    <t>Beispiel zur Profit Variance</t>
  </si>
  <si>
    <t>Beispiel zur Mix Variance</t>
  </si>
  <si>
    <t>Beispiel zur Yield Variance</t>
  </si>
  <si>
    <t>Eine Schifabrik stellt zwei Arten Schis her, Typ X und Typ Y.</t>
  </si>
  <si>
    <t>Der Gewinn im Jahr X1 war</t>
  </si>
  <si>
    <t>Der Gewinn im Jahr X2 war</t>
  </si>
  <si>
    <t>Der Gewinn sank, obwohl eine höhere Stückzahl verkauft wurde!</t>
  </si>
  <si>
    <t>Kostenaufstellung</t>
  </si>
  <si>
    <t>Schi Typ X</t>
  </si>
  <si>
    <t>Jahr</t>
  </si>
  <si>
    <t>X1</t>
  </si>
  <si>
    <t>X2</t>
  </si>
  <si>
    <t>Verkaufs</t>
  </si>
  <si>
    <t>preis</t>
  </si>
  <si>
    <t xml:space="preserve">Kosten </t>
  </si>
  <si>
    <t>pro Stk.</t>
  </si>
  <si>
    <t>In den Stückkosten der nachfolgenden Aufstellung sind keine</t>
  </si>
  <si>
    <t>Fixkosten enthalten!</t>
  </si>
  <si>
    <t>Absatz</t>
  </si>
  <si>
    <t>Umsatz</t>
  </si>
  <si>
    <t>erlös</t>
  </si>
  <si>
    <t>Schi Typ Y</t>
  </si>
  <si>
    <t xml:space="preserve">Erklären Sie den Gewinnrückgang von </t>
  </si>
  <si>
    <t>!</t>
  </si>
  <si>
    <t>Sales price variance</t>
  </si>
  <si>
    <t>Actual sales 19X2</t>
  </si>
  <si>
    <t xml:space="preserve">Model X </t>
  </si>
  <si>
    <t>Model Y</t>
  </si>
  <si>
    <t>Actual 19X2 sales at 19X1 prices</t>
  </si>
  <si>
    <t>Sales volume variance</t>
  </si>
  <si>
    <t>Actual 19X1 sales at 19X1 prices</t>
  </si>
  <si>
    <t>Cost price variance</t>
  </si>
  <si>
    <t>Actual cost of goods sold for 19X2</t>
  </si>
  <si>
    <t>Actual 19X2 sales at 19X1 costs</t>
  </si>
  <si>
    <t>Cost volume variance</t>
  </si>
  <si>
    <t>Actual 19X1 sales at 19X1 costs</t>
  </si>
  <si>
    <t>Total volume variance = sales volume variance + cost volume variance</t>
  </si>
  <si>
    <t>Die Total volume variance kann auch als Summe von sales mix variance</t>
  </si>
  <si>
    <t>und sales quantity variance dargestellt werden:</t>
  </si>
  <si>
    <t>Sales mix variance</t>
  </si>
  <si>
    <t>19X2 sales</t>
  </si>
  <si>
    <t>at 19X1 mix</t>
  </si>
  <si>
    <t>at 19X2 mix</t>
  </si>
  <si>
    <t>Difference</t>
  </si>
  <si>
    <t>19X1 gross profit</t>
  </si>
  <si>
    <t>per unit</t>
  </si>
  <si>
    <t>Variance</t>
  </si>
  <si>
    <t>Sales quantity variance</t>
  </si>
  <si>
    <t>19X1 sales</t>
  </si>
  <si>
    <t>Total volume variance = sales mix variance + sales quantity variance</t>
  </si>
  <si>
    <t>Explaining the decrease in gross profit</t>
  </si>
  <si>
    <t>Gains</t>
  </si>
  <si>
    <t>Losses</t>
  </si>
  <si>
    <t>Gain due to increased sales price</t>
  </si>
  <si>
    <t>Loss due to increased cost</t>
  </si>
  <si>
    <t>Gain due to increase in units sold</t>
  </si>
  <si>
    <t>Gain due to shift in sales mix</t>
  </si>
  <si>
    <t>Decrease in gross profit</t>
  </si>
</sst>
</file>

<file path=xl/styles.xml><?xml version="1.0" encoding="utf-8"?>
<styleSheet xmlns="http://schemas.openxmlformats.org/spreadsheetml/2006/main">
  <numFmts count="13">
    <numFmt numFmtId="5" formatCode="&quot;öS&quot;\ #,##0;\-&quot;öS&quot;\ #,##0"/>
    <numFmt numFmtId="6" formatCode="&quot;öS&quot;\ #,##0;[Red]\-&quot;öS&quot;\ #,##0"/>
    <numFmt numFmtId="7" formatCode="&quot;öS&quot;\ #,##0.00;\-&quot;öS&quot;\ #,##0.00"/>
    <numFmt numFmtId="8" formatCode="&quot;öS&quot;\ #,##0.00;[Red]\-&quot;öS&quot;\ #,##0.00"/>
    <numFmt numFmtId="42" formatCode="_-&quot;öS&quot;\ * #,##0_-;\-&quot;öS&quot;\ * #,##0_-;_-&quot;öS&quot;\ * &quot;-&quot;_-;_-@_-"/>
    <numFmt numFmtId="41" formatCode="_-* #,##0_-;\-* #,##0_-;_-* &quot;-&quot;_-;_-@_-"/>
    <numFmt numFmtId="44" formatCode="_-&quot;öS&quot;\ * #,##0.00_-;\-&quot;öS&quot;\ * #,##0.00_-;_-&quot;öS&quot;\ * &quot;-&quot;??_-;_-@_-"/>
    <numFmt numFmtId="43" formatCode="_-* #,##0.00_-;\-* #,##0.00_-;_-* &quot;-&quot;??_-;_-@_-"/>
    <numFmt numFmtId="164" formatCode="#,##0.0"/>
    <numFmt numFmtId="165" formatCode="#,##0.000"/>
    <numFmt numFmtId="166" formatCode="#,##0.0000"/>
    <numFmt numFmtId="167" formatCode="0\ &quot;Std.&quot;"/>
    <numFmt numFmtId="168" formatCode="0\ &quot;kg&quot;"/>
  </numFmts>
  <fonts count="13">
    <font>
      <sz val="10"/>
      <name val="Arial"/>
      <family val="0"/>
    </font>
    <font>
      <u val="single"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Tahoma"/>
      <family val="0"/>
    </font>
    <font>
      <b/>
      <sz val="11.5"/>
      <name val="Arial"/>
      <family val="0"/>
    </font>
    <font>
      <b/>
      <vertAlign val="superscript"/>
      <sz val="12"/>
      <name val="Arial"/>
      <family val="2"/>
    </font>
    <font>
      <sz val="11.5"/>
      <name val="Arial"/>
      <family val="0"/>
    </font>
    <font>
      <b/>
      <sz val="14.5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9" fontId="2" fillId="0" borderId="0" xfId="17" applyFont="1" applyAlignment="1">
      <alignment/>
    </xf>
    <xf numFmtId="168" fontId="2" fillId="0" borderId="1" xfId="0" applyNumberFormat="1" applyFont="1" applyBorder="1" applyAlignment="1">
      <alignment/>
    </xf>
    <xf numFmtId="9" fontId="2" fillId="0" borderId="1" xfId="17" applyFont="1" applyBorder="1" applyAlignment="1">
      <alignment/>
    </xf>
    <xf numFmtId="167" fontId="2" fillId="0" borderId="0" xfId="17" applyNumberFormat="1" applyFont="1" applyAlignment="1">
      <alignment/>
    </xf>
    <xf numFmtId="167" fontId="2" fillId="0" borderId="1" xfId="17" applyNumberFormat="1" applyFont="1" applyBorder="1" applyAlignment="1">
      <alignment/>
    </xf>
    <xf numFmtId="164" fontId="2" fillId="0" borderId="0" xfId="17" applyNumberFormat="1" applyFont="1" applyAlignment="1">
      <alignment horizontal="center"/>
    </xf>
    <xf numFmtId="164" fontId="2" fillId="0" borderId="1" xfId="17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167" fontId="2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3" fillId="0" borderId="3" xfId="0" applyNumberFormat="1" applyFont="1" applyBorder="1" applyAlignment="1">
      <alignment/>
    </xf>
    <xf numFmtId="3" fontId="3" fillId="0" borderId="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High-Low Methode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Gesamtkosten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'High-Low'!$B$5:$B$16</c:f>
              <c:numCache/>
            </c:numRef>
          </c:cat>
          <c:val>
            <c:numRef>
              <c:f>'High-Low'!$C$5:$C$16</c:f>
              <c:numCache/>
            </c:numRef>
          </c:val>
          <c:smooth val="0"/>
        </c:ser>
        <c:ser>
          <c:idx val="1"/>
          <c:order val="1"/>
          <c:tx>
            <c:v>High-Low Gerade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'High-Low'!$B$5:$B$16</c:f>
              <c:numCache/>
            </c:numRef>
          </c:cat>
          <c:val>
            <c:numRef>
              <c:f>'High-Low'!$D$5:$D$16</c:f>
              <c:numCache/>
            </c:numRef>
          </c:val>
          <c:smooth val="0"/>
        </c:ser>
        <c:marker val="1"/>
        <c:axId val="8549948"/>
        <c:axId val="9840669"/>
      </c:lineChart>
      <c:catAx>
        <c:axId val="85499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Arbeitsstunden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840669"/>
        <c:crosses val="autoZero"/>
        <c:auto val="1"/>
        <c:lblOffset val="100"/>
        <c:noMultiLvlLbl val="0"/>
      </c:catAx>
      <c:valAx>
        <c:axId val="9840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Gesamtkosten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5499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Regressionsgerade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Gesamtkosten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Regression!$B$5:$B$16</c:f>
              <c:numCache/>
            </c:numRef>
          </c:cat>
          <c:val>
            <c:numRef>
              <c:f>Regression!$C$5:$C$16</c:f>
              <c:numCache/>
            </c:numRef>
          </c:val>
          <c:smooth val="0"/>
        </c:ser>
        <c:ser>
          <c:idx val="1"/>
          <c:order val="1"/>
          <c:tx>
            <c:v>Regressionsgerade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Regression!$B$5:$B$16</c:f>
              <c:numCache/>
            </c:numRef>
          </c:cat>
          <c:val>
            <c:numRef>
              <c:f>Regression!$D$5:$D$16</c:f>
              <c:numCache/>
            </c:numRef>
          </c:val>
          <c:smooth val="0"/>
        </c:ser>
        <c:marker val="1"/>
        <c:axId val="21457158"/>
        <c:axId val="58896695"/>
      </c:lineChart>
      <c:catAx>
        <c:axId val="21457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Arbeitsstunden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896695"/>
        <c:crosses val="autoZero"/>
        <c:auto val="1"/>
        <c:lblOffset val="100"/>
        <c:noMultiLvlLbl val="0"/>
      </c:catAx>
      <c:valAx>
        <c:axId val="58896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Gesamtkosten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4571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17</xdr:row>
      <xdr:rowOff>9525</xdr:rowOff>
    </xdr:from>
    <xdr:to>
      <xdr:col>10</xdr:col>
      <xdr:colOff>161925</xdr:colOff>
      <xdr:row>37</xdr:row>
      <xdr:rowOff>95250</xdr:rowOff>
    </xdr:to>
    <xdr:graphicFrame>
      <xdr:nvGraphicFramePr>
        <xdr:cNvPr id="1" name="Chart 1"/>
        <xdr:cNvGraphicFramePr/>
      </xdr:nvGraphicFramePr>
      <xdr:xfrm>
        <a:off x="3743325" y="3286125"/>
        <a:ext cx="53244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21</xdr:row>
      <xdr:rowOff>85725</xdr:rowOff>
    </xdr:from>
    <xdr:to>
      <xdr:col>6</xdr:col>
      <xdr:colOff>0</xdr:colOff>
      <xdr:row>44</xdr:row>
      <xdr:rowOff>0</xdr:rowOff>
    </xdr:to>
    <xdr:graphicFrame>
      <xdr:nvGraphicFramePr>
        <xdr:cNvPr id="1" name="Chart 2"/>
        <xdr:cNvGraphicFramePr/>
      </xdr:nvGraphicFramePr>
      <xdr:xfrm>
        <a:off x="409575" y="4200525"/>
        <a:ext cx="56388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5.7109375" style="2" customWidth="1"/>
    <col min="2" max="2" width="19.140625" style="2" bestFit="1" customWidth="1"/>
    <col min="3" max="3" width="18.7109375" style="2" bestFit="1" customWidth="1"/>
    <col min="4" max="16384" width="11.421875" style="2" customWidth="1"/>
  </cols>
  <sheetData>
    <row r="1" ht="20.25">
      <c r="A1" s="1" t="s">
        <v>0</v>
      </c>
    </row>
    <row r="2" ht="15"/>
    <row r="3" ht="15"/>
    <row r="4" spans="1:4" ht="15">
      <c r="A4" s="3" t="s">
        <v>1</v>
      </c>
      <c r="B4" s="3" t="s">
        <v>2</v>
      </c>
      <c r="C4" s="3" t="s">
        <v>3</v>
      </c>
      <c r="D4" s="3" t="s">
        <v>7</v>
      </c>
    </row>
    <row r="5" spans="1:6" ht="15">
      <c r="A5" s="4">
        <v>1</v>
      </c>
      <c r="B5" s="3">
        <v>82</v>
      </c>
      <c r="C5" s="3">
        <v>2510</v>
      </c>
      <c r="D5" s="3">
        <f aca="true" t="shared" si="0" ref="D5:D16">(x*k+d)</f>
        <v>1933.529411764706</v>
      </c>
      <c r="F5" s="3"/>
    </row>
    <row r="6" spans="1:6" ht="15">
      <c r="A6" s="4">
        <v>2</v>
      </c>
      <c r="B6" s="3">
        <v>101</v>
      </c>
      <c r="C6" s="3">
        <v>2479</v>
      </c>
      <c r="D6" s="3">
        <f t="shared" si="0"/>
        <v>2397.3529411764707</v>
      </c>
      <c r="F6" s="3"/>
    </row>
    <row r="7" spans="1:6" ht="15">
      <c r="A7" s="4">
        <v>3</v>
      </c>
      <c r="B7" s="3">
        <v>88</v>
      </c>
      <c r="C7" s="3">
        <v>2080</v>
      </c>
      <c r="D7" s="3">
        <f t="shared" si="0"/>
        <v>2080</v>
      </c>
      <c r="F7" s="3"/>
    </row>
    <row r="8" spans="1:6" ht="15">
      <c r="A8" s="4">
        <v>4</v>
      </c>
      <c r="B8" s="3">
        <v>99</v>
      </c>
      <c r="C8" s="3">
        <v>2750</v>
      </c>
      <c r="D8" s="3">
        <f t="shared" si="0"/>
        <v>2348.529411764706</v>
      </c>
      <c r="F8" s="3"/>
    </row>
    <row r="9" spans="1:6" ht="15">
      <c r="A9" s="4">
        <v>5</v>
      </c>
      <c r="B9" s="3">
        <v>93</v>
      </c>
      <c r="C9" s="3">
        <v>2330</v>
      </c>
      <c r="D9" s="3">
        <f t="shared" si="0"/>
        <v>2202.0588235294117</v>
      </c>
      <c r="F9" s="3"/>
    </row>
    <row r="10" spans="1:6" ht="15">
      <c r="A10" s="4">
        <v>6</v>
      </c>
      <c r="B10" s="3">
        <v>103</v>
      </c>
      <c r="C10" s="3">
        <v>2690</v>
      </c>
      <c r="D10" s="3">
        <f t="shared" si="0"/>
        <v>2446.176470588235</v>
      </c>
      <c r="F10" s="3"/>
    </row>
    <row r="11" spans="1:6" ht="15">
      <c r="A11" s="4">
        <v>7</v>
      </c>
      <c r="B11" s="3">
        <v>77</v>
      </c>
      <c r="C11" s="3">
        <v>2480</v>
      </c>
      <c r="D11" s="3">
        <f t="shared" si="0"/>
        <v>1811.4705882352941</v>
      </c>
      <c r="F11" s="3"/>
    </row>
    <row r="12" spans="1:6" ht="15">
      <c r="A12" s="4">
        <v>8</v>
      </c>
      <c r="B12" s="3">
        <v>102</v>
      </c>
      <c r="C12" s="3">
        <v>2610</v>
      </c>
      <c r="D12" s="3">
        <f t="shared" si="0"/>
        <v>2421.764705882353</v>
      </c>
      <c r="F12" s="3"/>
    </row>
    <row r="13" spans="1:6" ht="15">
      <c r="A13" s="4">
        <v>9</v>
      </c>
      <c r="B13" s="3">
        <v>122</v>
      </c>
      <c r="C13" s="3">
        <v>2910</v>
      </c>
      <c r="D13" s="3">
        <f t="shared" si="0"/>
        <v>2910</v>
      </c>
      <c r="F13" s="3"/>
    </row>
    <row r="14" spans="1:6" ht="15">
      <c r="A14" s="4">
        <v>10</v>
      </c>
      <c r="B14" s="3">
        <v>107</v>
      </c>
      <c r="C14" s="3">
        <v>2730</v>
      </c>
      <c r="D14" s="3">
        <f t="shared" si="0"/>
        <v>2543.823529411765</v>
      </c>
      <c r="F14" s="3"/>
    </row>
    <row r="15" spans="1:6" ht="15">
      <c r="A15" s="4">
        <v>11</v>
      </c>
      <c r="B15" s="3">
        <v>101</v>
      </c>
      <c r="C15" s="3">
        <v>2760</v>
      </c>
      <c r="D15" s="3">
        <f t="shared" si="0"/>
        <v>2397.3529411764707</v>
      </c>
      <c r="F15" s="3"/>
    </row>
    <row r="16" spans="1:4" ht="15">
      <c r="A16" s="4">
        <v>12</v>
      </c>
      <c r="B16" s="3">
        <v>65</v>
      </c>
      <c r="C16" s="3">
        <v>2109</v>
      </c>
      <c r="D16" s="3">
        <f t="shared" si="0"/>
        <v>1518.529411764706</v>
      </c>
    </row>
    <row r="18" spans="1:3" ht="15.75">
      <c r="A18" s="6" t="s">
        <v>9</v>
      </c>
      <c r="B18" s="3">
        <f>INDEX(x,MATCH(C18,y))</f>
        <v>88</v>
      </c>
      <c r="C18" s="3">
        <f>MIN(y)</f>
        <v>2080</v>
      </c>
    </row>
    <row r="19" spans="1:3" ht="15.75">
      <c r="A19" s="6" t="s">
        <v>10</v>
      </c>
      <c r="B19" s="3">
        <f>INDEX(x,MATCH(C19,y))</f>
        <v>122</v>
      </c>
      <c r="C19" s="3">
        <f>MAX(y)</f>
        <v>2910</v>
      </c>
    </row>
    <row r="21" spans="1:2" ht="15.75">
      <c r="A21" s="6" t="s">
        <v>4</v>
      </c>
      <c r="B21" s="7">
        <f>(C19-C18)/(B19-B18)</f>
        <v>24.41176470588235</v>
      </c>
    </row>
    <row r="22" spans="1:3" ht="15.75">
      <c r="A22" s="6" t="s">
        <v>5</v>
      </c>
      <c r="B22" s="2">
        <f>C19-B21*B19</f>
        <v>-68.23529411764684</v>
      </c>
      <c r="C22" s="2">
        <f>C18-B21*B18</f>
        <v>-68.23529411764684</v>
      </c>
    </row>
    <row r="24" ht="15.75">
      <c r="B24" s="5" t="s">
        <v>6</v>
      </c>
    </row>
    <row r="25" ht="15.75">
      <c r="B25" s="5" t="str">
        <f>"y  =  "&amp;TEXT(B22,"0,00")&amp;" + "&amp;TEXT(B21,"0,00")&amp;" .  x "</f>
        <v>y  =  -68,24 + 24,41 .  x </v>
      </c>
    </row>
  </sheetData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4.00390625" style="2" customWidth="1"/>
    <col min="2" max="2" width="2.57421875" style="2" bestFit="1" customWidth="1"/>
    <col min="3" max="3" width="10.28125" style="2" bestFit="1" customWidth="1"/>
    <col min="4" max="4" width="3.8515625" style="2" bestFit="1" customWidth="1"/>
    <col min="5" max="5" width="10.28125" style="2" customWidth="1"/>
    <col min="6" max="16384" width="11.421875" style="2" customWidth="1"/>
  </cols>
  <sheetData>
    <row r="1" ht="20.25">
      <c r="A1" s="1" t="s">
        <v>91</v>
      </c>
    </row>
    <row r="4" spans="1:6" ht="15">
      <c r="A4" s="2" t="s">
        <v>112</v>
      </c>
      <c r="F4" s="2" t="s">
        <v>97</v>
      </c>
    </row>
    <row r="5" ht="15">
      <c r="A5" s="18" t="s">
        <v>113</v>
      </c>
    </row>
    <row r="6" spans="1:6" ht="15">
      <c r="A6" s="2" t="s">
        <v>114</v>
      </c>
      <c r="B6" s="2">
        <v>5</v>
      </c>
      <c r="C6" s="2" t="s">
        <v>120</v>
      </c>
      <c r="D6" s="2">
        <v>4</v>
      </c>
      <c r="E6" s="2" t="s">
        <v>96</v>
      </c>
      <c r="F6" s="2">
        <f>B6*D6</f>
        <v>20</v>
      </c>
    </row>
    <row r="7" ht="15">
      <c r="A7" s="18" t="s">
        <v>115</v>
      </c>
    </row>
    <row r="8" spans="1:6" ht="15">
      <c r="A8" s="2" t="s">
        <v>18</v>
      </c>
      <c r="B8" s="2">
        <v>3</v>
      </c>
      <c r="C8" s="2" t="s">
        <v>121</v>
      </c>
      <c r="D8" s="2">
        <v>12</v>
      </c>
      <c r="E8" s="2" t="s">
        <v>96</v>
      </c>
      <c r="F8" s="2">
        <f>B8*D8</f>
        <v>36</v>
      </c>
    </row>
    <row r="9" ht="15">
      <c r="A9" s="18" t="s">
        <v>116</v>
      </c>
    </row>
    <row r="10" spans="1:6" ht="15">
      <c r="A10" s="2" t="s">
        <v>19</v>
      </c>
      <c r="B10" s="2">
        <v>3</v>
      </c>
      <c r="C10" s="2" t="s">
        <v>121</v>
      </c>
      <c r="D10" s="2">
        <v>7</v>
      </c>
      <c r="E10" s="2" t="s">
        <v>96</v>
      </c>
      <c r="F10" s="2">
        <f>B10*D10</f>
        <v>21</v>
      </c>
    </row>
    <row r="11" ht="15">
      <c r="A11" s="18" t="s">
        <v>117</v>
      </c>
    </row>
    <row r="12" spans="1:6" ht="15">
      <c r="A12" s="2" t="s">
        <v>118</v>
      </c>
      <c r="B12" s="2">
        <v>3</v>
      </c>
      <c r="C12" s="2" t="s">
        <v>121</v>
      </c>
      <c r="D12" s="2">
        <v>20</v>
      </c>
      <c r="E12" s="2" t="s">
        <v>96</v>
      </c>
      <c r="F12" s="9">
        <f>B12*D12</f>
        <v>60</v>
      </c>
    </row>
    <row r="13" spans="1:6" ht="15">
      <c r="A13" s="18" t="s">
        <v>119</v>
      </c>
      <c r="F13" s="2">
        <f>SUM(F6:F12)</f>
        <v>137</v>
      </c>
    </row>
    <row r="15" ht="15">
      <c r="A15" s="2" t="s">
        <v>122</v>
      </c>
    </row>
    <row r="16" ht="15">
      <c r="A16" s="18" t="s">
        <v>123</v>
      </c>
    </row>
    <row r="17" spans="1:3" ht="15">
      <c r="A17" s="2" t="s">
        <v>24</v>
      </c>
      <c r="C17" s="2">
        <v>9800</v>
      </c>
    </row>
    <row r="18" ht="15">
      <c r="A18" s="18" t="s">
        <v>124</v>
      </c>
    </row>
    <row r="19" spans="1:3" ht="15">
      <c r="A19" s="2" t="s">
        <v>82</v>
      </c>
      <c r="C19" s="2">
        <v>11000</v>
      </c>
    </row>
    <row r="20" ht="15">
      <c r="A20" s="18" t="s">
        <v>125</v>
      </c>
    </row>
    <row r="21" spans="1:6" ht="15">
      <c r="A21" s="2" t="s">
        <v>126</v>
      </c>
      <c r="C21" s="2">
        <v>50000</v>
      </c>
      <c r="D21" s="2" t="s">
        <v>128</v>
      </c>
      <c r="F21" s="2">
        <v>150000</v>
      </c>
    </row>
    <row r="22" ht="15">
      <c r="A22" s="18" t="s">
        <v>127</v>
      </c>
    </row>
    <row r="23" spans="1:4" ht="15">
      <c r="A23" s="2" t="s">
        <v>114</v>
      </c>
      <c r="C23" s="2">
        <v>44000</v>
      </c>
      <c r="D23" s="2" t="s">
        <v>130</v>
      </c>
    </row>
    <row r="24" ht="15">
      <c r="A24" s="18" t="s">
        <v>129</v>
      </c>
    </row>
    <row r="25" spans="1:6" ht="15">
      <c r="A25" s="2" t="s">
        <v>18</v>
      </c>
      <c r="C25" s="2">
        <v>22000</v>
      </c>
      <c r="D25" s="2" t="s">
        <v>131</v>
      </c>
      <c r="F25" s="2">
        <v>220000</v>
      </c>
    </row>
    <row r="26" ht="15">
      <c r="A26" s="18" t="s">
        <v>116</v>
      </c>
    </row>
    <row r="27" spans="1:3" ht="15">
      <c r="A27" s="2" t="s">
        <v>19</v>
      </c>
      <c r="C27" s="2">
        <v>125000</v>
      </c>
    </row>
    <row r="28" ht="15">
      <c r="A28" s="18" t="s">
        <v>117</v>
      </c>
    </row>
    <row r="29" spans="1:3" ht="15">
      <c r="A29" s="2" t="s">
        <v>118</v>
      </c>
      <c r="C29" s="2">
        <v>450000</v>
      </c>
    </row>
    <row r="30" ht="15">
      <c r="A30" s="18" t="s">
        <v>119</v>
      </c>
    </row>
    <row r="32" ht="15.75">
      <c r="A32" s="19" t="s">
        <v>132</v>
      </c>
    </row>
    <row r="34" ht="15">
      <c r="A34" s="2" t="s">
        <v>133</v>
      </c>
    </row>
    <row r="35" ht="15">
      <c r="A35" s="18" t="s">
        <v>134</v>
      </c>
    </row>
    <row r="36" ht="15">
      <c r="A36" s="2" t="s">
        <v>135</v>
      </c>
    </row>
    <row r="37" ht="15.75">
      <c r="F37" s="5">
        <f>(D6-F21/C21)*C21</f>
        <v>50000</v>
      </c>
    </row>
    <row r="38" ht="15">
      <c r="A38" s="2" t="s">
        <v>136</v>
      </c>
    </row>
    <row r="39" ht="15">
      <c r="A39" s="18" t="s">
        <v>137</v>
      </c>
    </row>
    <row r="40" ht="15">
      <c r="A40" s="2" t="s">
        <v>138</v>
      </c>
    </row>
    <row r="41" ht="15.75">
      <c r="F41" s="5">
        <f>(C17*B6-C23)*D6</f>
        <v>20000</v>
      </c>
    </row>
    <row r="43" ht="15.75">
      <c r="A43" s="19" t="s">
        <v>139</v>
      </c>
    </row>
    <row r="45" ht="15">
      <c r="A45" s="2" t="s">
        <v>101</v>
      </c>
    </row>
    <row r="46" ht="15">
      <c r="A46" s="18" t="s">
        <v>140</v>
      </c>
    </row>
    <row r="47" spans="1:7" ht="15">
      <c r="A47" s="2" t="s">
        <v>141</v>
      </c>
      <c r="C47" s="2">
        <f>C17*B8</f>
        <v>29400</v>
      </c>
      <c r="D47" s="2" t="s">
        <v>142</v>
      </c>
      <c r="E47" s="2">
        <f>D8</f>
        <v>12</v>
      </c>
      <c r="F47" s="2" t="s">
        <v>96</v>
      </c>
      <c r="G47" s="2">
        <f>C47*E47</f>
        <v>352800</v>
      </c>
    </row>
    <row r="48" spans="1:7" ht="15">
      <c r="A48" s="9" t="s">
        <v>143</v>
      </c>
      <c r="B48" s="9"/>
      <c r="C48" s="9">
        <f>C25</f>
        <v>22000</v>
      </c>
      <c r="D48" s="9" t="s">
        <v>142</v>
      </c>
      <c r="E48" s="9">
        <f>F25/C25</f>
        <v>10</v>
      </c>
      <c r="F48" s="9" t="s">
        <v>96</v>
      </c>
      <c r="G48" s="9">
        <f>C48*E48</f>
        <v>220000</v>
      </c>
    </row>
    <row r="49" spans="1:7" ht="15.75">
      <c r="A49" s="5" t="s">
        <v>144</v>
      </c>
      <c r="G49" s="5">
        <f>G47-G48</f>
        <v>132800</v>
      </c>
    </row>
    <row r="51" ht="15">
      <c r="A51" s="2" t="s">
        <v>41</v>
      </c>
    </row>
    <row r="52" ht="15">
      <c r="A52" s="18" t="s">
        <v>145</v>
      </c>
    </row>
    <row r="53" spans="1:6" ht="15.75">
      <c r="A53" s="2" t="s">
        <v>146</v>
      </c>
      <c r="F53" s="5">
        <f>(D8-E48)*C25</f>
        <v>44000</v>
      </c>
    </row>
    <row r="55" ht="15">
      <c r="A55" s="2" t="s">
        <v>44</v>
      </c>
    </row>
    <row r="56" ht="15">
      <c r="A56" s="18" t="s">
        <v>147</v>
      </c>
    </row>
    <row r="57" spans="1:6" ht="15.75">
      <c r="A57" s="2" t="s">
        <v>148</v>
      </c>
      <c r="F57" s="5">
        <f>(C47-C48)*D8</f>
        <v>88800</v>
      </c>
    </row>
    <row r="60" ht="15.75">
      <c r="A60" s="19" t="s">
        <v>149</v>
      </c>
    </row>
    <row r="62" ht="15">
      <c r="A62" s="2" t="s">
        <v>41</v>
      </c>
    </row>
    <row r="63" ht="15">
      <c r="A63" s="18" t="s">
        <v>150</v>
      </c>
    </row>
    <row r="64" spans="1:6" ht="15">
      <c r="A64" s="2" t="s">
        <v>151</v>
      </c>
      <c r="F64" s="2">
        <f>C27</f>
        <v>125000</v>
      </c>
    </row>
    <row r="65" spans="1:6" ht="15">
      <c r="A65" s="9" t="s">
        <v>152</v>
      </c>
      <c r="B65" s="9"/>
      <c r="C65" s="9"/>
      <c r="D65" s="9"/>
      <c r="E65" s="9"/>
      <c r="F65" s="9">
        <f>D10*C25</f>
        <v>154000</v>
      </c>
    </row>
    <row r="66" ht="15.75">
      <c r="F66" s="5">
        <f>F65-F64</f>
        <v>29000</v>
      </c>
    </row>
    <row r="67" ht="15">
      <c r="A67" s="2" t="s">
        <v>111</v>
      </c>
    </row>
    <row r="68" ht="15">
      <c r="A68" s="18" t="s">
        <v>153</v>
      </c>
    </row>
    <row r="69" spans="1:6" ht="15">
      <c r="A69" s="2" t="s">
        <v>152</v>
      </c>
      <c r="F69" s="2">
        <f>F65</f>
        <v>154000</v>
      </c>
    </row>
    <row r="70" spans="1:6" ht="15">
      <c r="A70" s="9" t="s">
        <v>154</v>
      </c>
      <c r="B70" s="9"/>
      <c r="C70" s="9"/>
      <c r="D70" s="9"/>
      <c r="E70" s="9"/>
      <c r="F70" s="9">
        <f>C47*D10</f>
        <v>205800</v>
      </c>
    </row>
    <row r="71" ht="15.75">
      <c r="F71" s="5">
        <f>F70-F69</f>
        <v>51800</v>
      </c>
    </row>
    <row r="73" ht="15.75">
      <c r="A73" s="19" t="s">
        <v>155</v>
      </c>
    </row>
    <row r="75" ht="15">
      <c r="A75" s="2" t="s">
        <v>156</v>
      </c>
    </row>
    <row r="76" ht="15">
      <c r="A76" s="18" t="s">
        <v>157</v>
      </c>
    </row>
    <row r="77" spans="1:6" ht="15">
      <c r="A77" s="2" t="s">
        <v>158</v>
      </c>
      <c r="F77" s="2">
        <f>C29</f>
        <v>450000</v>
      </c>
    </row>
    <row r="78" spans="1:6" ht="15">
      <c r="A78" s="9" t="s">
        <v>159</v>
      </c>
      <c r="B78" s="9"/>
      <c r="C78" s="9"/>
      <c r="D78" s="9"/>
      <c r="E78" s="9"/>
      <c r="F78" s="9">
        <f>C19*F12</f>
        <v>660000</v>
      </c>
    </row>
    <row r="79" ht="15.75">
      <c r="F79" s="5">
        <f>F78-F77</f>
        <v>210000</v>
      </c>
    </row>
    <row r="80" ht="15">
      <c r="A80" s="2" t="s">
        <v>44</v>
      </c>
    </row>
    <row r="81" ht="15">
      <c r="A81" s="18" t="s">
        <v>160</v>
      </c>
    </row>
    <row r="82" spans="1:6" ht="15">
      <c r="A82" s="2" t="s">
        <v>159</v>
      </c>
      <c r="F82" s="2">
        <f>F78</f>
        <v>660000</v>
      </c>
    </row>
    <row r="83" spans="1:6" ht="15">
      <c r="A83" s="9" t="s">
        <v>161</v>
      </c>
      <c r="B83" s="9"/>
      <c r="C83" s="9"/>
      <c r="D83" s="9"/>
      <c r="E83" s="9"/>
      <c r="F83" s="9">
        <f>C47*D12</f>
        <v>588000</v>
      </c>
    </row>
    <row r="84" ht="15.75">
      <c r="F84" s="5">
        <f>F83-F82</f>
        <v>-72000</v>
      </c>
    </row>
    <row r="85" ht="15">
      <c r="A85" s="2" t="s">
        <v>162</v>
      </c>
    </row>
    <row r="86" ht="15">
      <c r="A86" s="2" t="s">
        <v>111</v>
      </c>
    </row>
    <row r="87" ht="15">
      <c r="A87" s="18" t="s">
        <v>163</v>
      </c>
    </row>
    <row r="88" spans="1:6" ht="15.75">
      <c r="A88" s="2" t="s">
        <v>164</v>
      </c>
      <c r="F88" s="5">
        <f>(C47-C48)*D12</f>
        <v>148000</v>
      </c>
    </row>
    <row r="90" ht="15">
      <c r="A90" s="2" t="s">
        <v>165</v>
      </c>
    </row>
    <row r="91" ht="15">
      <c r="A91" s="18" t="s">
        <v>166</v>
      </c>
    </row>
    <row r="92" spans="1:6" ht="15.75">
      <c r="A92" s="2" t="s">
        <v>167</v>
      </c>
      <c r="F92" s="5">
        <f>(C48-C19*B8)*D12</f>
        <v>-220000</v>
      </c>
    </row>
    <row r="95" ht="15.75">
      <c r="A95" s="19" t="s">
        <v>168</v>
      </c>
    </row>
    <row r="97" ht="15">
      <c r="A97" s="2" t="s">
        <v>169</v>
      </c>
    </row>
    <row r="98" ht="15">
      <c r="A98" s="18" t="s">
        <v>170</v>
      </c>
    </row>
    <row r="99" spans="1:6" ht="15">
      <c r="A99" s="2" t="s">
        <v>171</v>
      </c>
      <c r="F99" s="2">
        <f>C27+C29</f>
        <v>575000</v>
      </c>
    </row>
    <row r="100" spans="1:6" ht="15">
      <c r="A100" s="9" t="s">
        <v>161</v>
      </c>
      <c r="B100" s="9"/>
      <c r="C100" s="9"/>
      <c r="D100" s="9"/>
      <c r="E100" s="9"/>
      <c r="F100" s="9">
        <f>C47*(D10+D12)</f>
        <v>793800</v>
      </c>
    </row>
    <row r="101" ht="15.75">
      <c r="F101" s="5">
        <f>F100-F99</f>
        <v>218800</v>
      </c>
    </row>
    <row r="103" ht="15.75">
      <c r="A103" s="19" t="s">
        <v>172</v>
      </c>
    </row>
    <row r="105" ht="15">
      <c r="A105" s="2" t="s">
        <v>105</v>
      </c>
    </row>
    <row r="106" ht="15">
      <c r="A106" s="18" t="s">
        <v>173</v>
      </c>
    </row>
    <row r="107" spans="1:6" ht="15">
      <c r="A107" s="2" t="s">
        <v>171</v>
      </c>
      <c r="F107" s="2">
        <f>F99</f>
        <v>575000</v>
      </c>
    </row>
    <row r="108" ht="15">
      <c r="A108" s="2" t="s">
        <v>154</v>
      </c>
    </row>
    <row r="109" spans="1:6" ht="15">
      <c r="A109" s="2" t="s">
        <v>174</v>
      </c>
      <c r="F109" s="2">
        <f>C19*B12*D12</f>
        <v>660000</v>
      </c>
    </row>
    <row r="110" spans="1:6" ht="15">
      <c r="A110" s="9" t="s">
        <v>175</v>
      </c>
      <c r="B110" s="9"/>
      <c r="C110" s="9"/>
      <c r="D110" s="9"/>
      <c r="E110" s="9"/>
      <c r="F110" s="9">
        <f>C17*B10*D10</f>
        <v>205800</v>
      </c>
    </row>
    <row r="111" ht="15.75">
      <c r="F111" s="5">
        <f>F109+F110-F107</f>
        <v>290800</v>
      </c>
    </row>
    <row r="112" ht="15">
      <c r="A112" s="2" t="s">
        <v>44</v>
      </c>
    </row>
    <row r="113" ht="15">
      <c r="A113" s="18" t="s">
        <v>176</v>
      </c>
    </row>
    <row r="114" spans="1:6" ht="15">
      <c r="A114" s="2" t="s">
        <v>154</v>
      </c>
      <c r="F114" s="2">
        <f>F109+F110</f>
        <v>865800</v>
      </c>
    </row>
    <row r="115" spans="1:6" ht="15">
      <c r="A115" s="9" t="s">
        <v>161</v>
      </c>
      <c r="B115" s="9"/>
      <c r="C115" s="9"/>
      <c r="D115" s="9"/>
      <c r="E115" s="9"/>
      <c r="F115" s="9">
        <f>C47*(D10+D12)</f>
        <v>793800</v>
      </c>
    </row>
    <row r="116" ht="15.75">
      <c r="F116" s="5">
        <f>F115-F114</f>
        <v>-72000</v>
      </c>
    </row>
    <row r="119" ht="15.75">
      <c r="A119" s="19" t="s">
        <v>177</v>
      </c>
    </row>
    <row r="121" ht="15">
      <c r="A121" s="2" t="s">
        <v>109</v>
      </c>
    </row>
    <row r="122" ht="15">
      <c r="A122" s="18" t="s">
        <v>178</v>
      </c>
    </row>
    <row r="123" spans="1:6" ht="15">
      <c r="A123" s="2" t="s">
        <v>171</v>
      </c>
      <c r="F123" s="2">
        <f>F107</f>
        <v>575000</v>
      </c>
    </row>
    <row r="124" ht="15">
      <c r="A124" s="2" t="s">
        <v>152</v>
      </c>
    </row>
    <row r="125" spans="1:6" ht="15">
      <c r="A125" s="2" t="s">
        <v>174</v>
      </c>
      <c r="F125" s="2">
        <f>F109</f>
        <v>660000</v>
      </c>
    </row>
    <row r="126" spans="1:6" ht="15">
      <c r="A126" s="9" t="s">
        <v>175</v>
      </c>
      <c r="B126" s="9"/>
      <c r="C126" s="9"/>
      <c r="D126" s="9"/>
      <c r="E126" s="9"/>
      <c r="F126" s="9">
        <f>C48*D10</f>
        <v>154000</v>
      </c>
    </row>
    <row r="127" ht="15.75">
      <c r="F127" s="5">
        <f>F126+F125-F123</f>
        <v>239000</v>
      </c>
    </row>
    <row r="128" ht="15">
      <c r="A128" s="2" t="s">
        <v>111</v>
      </c>
    </row>
    <row r="129" ht="15">
      <c r="A129" s="18" t="s">
        <v>179</v>
      </c>
    </row>
    <row r="130" spans="1:6" ht="15">
      <c r="A130" s="2" t="s">
        <v>152</v>
      </c>
      <c r="F130" s="2">
        <f>F126+F125</f>
        <v>814000</v>
      </c>
    </row>
    <row r="131" spans="1:6" ht="15">
      <c r="A131" s="9" t="s">
        <v>154</v>
      </c>
      <c r="B131" s="9"/>
      <c r="C131" s="9"/>
      <c r="D131" s="9"/>
      <c r="E131" s="9"/>
      <c r="F131" s="9">
        <f>F114</f>
        <v>865800</v>
      </c>
    </row>
    <row r="132" ht="15.75">
      <c r="F132" s="5">
        <f>F131-F130</f>
        <v>51800</v>
      </c>
    </row>
    <row r="133" ht="15">
      <c r="A133" s="2" t="s">
        <v>44</v>
      </c>
    </row>
    <row r="134" ht="15">
      <c r="A134" s="18" t="s">
        <v>176</v>
      </c>
    </row>
    <row r="135" spans="1:6" ht="15">
      <c r="A135" s="2" t="s">
        <v>154</v>
      </c>
      <c r="F135" s="2">
        <f>F131</f>
        <v>865800</v>
      </c>
    </row>
    <row r="136" spans="1:6" ht="15">
      <c r="A136" s="9" t="s">
        <v>161</v>
      </c>
      <c r="B136" s="9"/>
      <c r="C136" s="9"/>
      <c r="D136" s="9"/>
      <c r="E136" s="9"/>
      <c r="F136" s="9">
        <f>F115</f>
        <v>793800</v>
      </c>
    </row>
    <row r="137" ht="15.75">
      <c r="F137" s="5">
        <f>F136-F135</f>
        <v>-72000</v>
      </c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2.57421875" style="2" customWidth="1"/>
    <col min="2" max="2" width="14.28125" style="2" customWidth="1"/>
    <col min="3" max="3" width="15.8515625" style="2" customWidth="1"/>
    <col min="4" max="4" width="13.7109375" style="2" customWidth="1"/>
    <col min="5" max="5" width="13.140625" style="2" customWidth="1"/>
    <col min="6" max="6" width="13.421875" style="2" bestFit="1" customWidth="1"/>
    <col min="7" max="7" width="11.421875" style="2" customWidth="1"/>
    <col min="8" max="8" width="13.421875" style="2" bestFit="1" customWidth="1"/>
    <col min="9" max="16384" width="11.421875" style="2" customWidth="1"/>
  </cols>
  <sheetData>
    <row r="1" ht="20.25">
      <c r="A1" s="1" t="s">
        <v>289</v>
      </c>
    </row>
    <row r="4" ht="15">
      <c r="A4" s="2" t="s">
        <v>180</v>
      </c>
    </row>
    <row r="5" ht="15">
      <c r="A5" s="2" t="s">
        <v>181</v>
      </c>
    </row>
    <row r="6" spans="1:2" ht="15">
      <c r="A6" s="2" t="s">
        <v>182</v>
      </c>
      <c r="B6" s="20">
        <v>20</v>
      </c>
    </row>
    <row r="7" ht="15">
      <c r="A7" s="2" t="s">
        <v>183</v>
      </c>
    </row>
    <row r="8" ht="15">
      <c r="A8" s="2" t="s">
        <v>184</v>
      </c>
    </row>
    <row r="10" spans="1:4" ht="15">
      <c r="A10" s="2" t="s">
        <v>185</v>
      </c>
      <c r="B10" s="3"/>
      <c r="C10" s="3" t="s">
        <v>189</v>
      </c>
      <c r="D10" s="3" t="s">
        <v>189</v>
      </c>
    </row>
    <row r="11" spans="1:4" ht="15">
      <c r="A11" s="9"/>
      <c r="B11" s="28" t="s">
        <v>188</v>
      </c>
      <c r="C11" s="28" t="s">
        <v>190</v>
      </c>
      <c r="D11" s="28" t="s">
        <v>191</v>
      </c>
    </row>
    <row r="12" spans="1:4" ht="15">
      <c r="A12" s="2" t="s">
        <v>186</v>
      </c>
      <c r="B12" s="2">
        <v>3</v>
      </c>
      <c r="C12" s="20">
        <v>5</v>
      </c>
      <c r="D12" s="21">
        <v>0.25</v>
      </c>
    </row>
    <row r="13" spans="1:4" ht="15">
      <c r="A13" s="2" t="s">
        <v>187</v>
      </c>
      <c r="B13" s="2">
        <v>4</v>
      </c>
      <c r="C13" s="22">
        <v>15</v>
      </c>
      <c r="D13" s="23">
        <f>1-D12</f>
        <v>0.75</v>
      </c>
    </row>
    <row r="14" spans="3:4" ht="15">
      <c r="C14" s="20">
        <f>SUM(C12:C13)</f>
        <v>20</v>
      </c>
      <c r="D14" s="23">
        <f>SUM(D12:D13)</f>
        <v>1</v>
      </c>
    </row>
    <row r="16" spans="1:3" ht="15">
      <c r="A16" s="2" t="s">
        <v>192</v>
      </c>
      <c r="B16" s="17">
        <v>10</v>
      </c>
      <c r="C16" s="17" t="s">
        <v>193</v>
      </c>
    </row>
    <row r="17" ht="15">
      <c r="A17" s="2" t="s">
        <v>194</v>
      </c>
    </row>
    <row r="18" ht="15">
      <c r="A18" s="2" t="s">
        <v>195</v>
      </c>
    </row>
    <row r="19" ht="15">
      <c r="A19" s="2" t="s">
        <v>196</v>
      </c>
    </row>
    <row r="21" spans="2:5" ht="15">
      <c r="B21" s="3"/>
      <c r="C21" s="3" t="s">
        <v>189</v>
      </c>
      <c r="D21" s="3"/>
      <c r="E21" s="3" t="s">
        <v>189</v>
      </c>
    </row>
    <row r="22" spans="1:5" ht="15">
      <c r="A22" s="9"/>
      <c r="B22" s="28" t="s">
        <v>199</v>
      </c>
      <c r="C22" s="28" t="s">
        <v>200</v>
      </c>
      <c r="D22" s="28" t="s">
        <v>201</v>
      </c>
      <c r="E22" s="28" t="s">
        <v>191</v>
      </c>
    </row>
    <row r="23" spans="1:5" ht="15">
      <c r="A23" s="2" t="s">
        <v>197</v>
      </c>
      <c r="B23" s="24">
        <v>4</v>
      </c>
      <c r="C23" s="26">
        <v>2</v>
      </c>
      <c r="D23" s="26">
        <f>B23*C23</f>
        <v>8</v>
      </c>
      <c r="E23" s="21">
        <f>B23/B25</f>
        <v>0.4</v>
      </c>
    </row>
    <row r="24" spans="1:5" ht="15">
      <c r="A24" s="2" t="s">
        <v>198</v>
      </c>
      <c r="B24" s="25">
        <v>6</v>
      </c>
      <c r="C24" s="27">
        <v>3</v>
      </c>
      <c r="D24" s="27">
        <f>B24*C24</f>
        <v>18</v>
      </c>
      <c r="E24" s="23">
        <f>B24/B25</f>
        <v>0.6</v>
      </c>
    </row>
    <row r="25" spans="2:5" ht="15">
      <c r="B25" s="24">
        <f>SUM(B23:B24)</f>
        <v>10</v>
      </c>
      <c r="C25" s="26">
        <f>(C23*B23+C24*B24)/B25</f>
        <v>2.6</v>
      </c>
      <c r="D25" s="26">
        <f>SUM(D23:D24)</f>
        <v>26</v>
      </c>
      <c r="E25" s="21">
        <f>SUM(E23:E24)</f>
        <v>1</v>
      </c>
    </row>
    <row r="27" spans="1:3" ht="15">
      <c r="A27" s="2" t="s">
        <v>202</v>
      </c>
      <c r="B27" s="2">
        <v>100</v>
      </c>
      <c r="C27" s="2" t="s">
        <v>203</v>
      </c>
    </row>
    <row r="28" ht="15">
      <c r="A28" s="2" t="s">
        <v>204</v>
      </c>
    </row>
    <row r="30" spans="2:4" ht="15">
      <c r="B30" s="3"/>
      <c r="C30" s="3" t="s">
        <v>206</v>
      </c>
      <c r="D30" s="3"/>
    </row>
    <row r="31" spans="1:4" ht="15">
      <c r="A31" s="9"/>
      <c r="B31" s="28" t="s">
        <v>205</v>
      </c>
      <c r="C31" s="28" t="s">
        <v>200</v>
      </c>
      <c r="D31" s="28" t="s">
        <v>201</v>
      </c>
    </row>
    <row r="32" spans="1:4" ht="15">
      <c r="A32" s="2" t="s">
        <v>197</v>
      </c>
      <c r="B32" s="24">
        <v>380</v>
      </c>
      <c r="C32" s="26">
        <v>2.5</v>
      </c>
      <c r="D32" s="26">
        <f>B32*C32</f>
        <v>950</v>
      </c>
    </row>
    <row r="33" spans="1:4" ht="15">
      <c r="A33" s="2" t="s">
        <v>198</v>
      </c>
      <c r="B33" s="25">
        <v>600</v>
      </c>
      <c r="C33" s="27">
        <v>3.25</v>
      </c>
      <c r="D33" s="27">
        <f>B33*C33</f>
        <v>1950</v>
      </c>
    </row>
    <row r="34" spans="2:4" ht="15">
      <c r="B34" s="24">
        <f>SUM(B32:B33)</f>
        <v>980</v>
      </c>
      <c r="C34" s="26">
        <f>(C32*B32+C33*B33)/B34</f>
        <v>2.9591836734693877</v>
      </c>
      <c r="D34" s="26">
        <f>SUM(D32:D33)</f>
        <v>2900</v>
      </c>
    </row>
    <row r="36" ht="15">
      <c r="A36" s="2" t="s">
        <v>207</v>
      </c>
    </row>
    <row r="38" spans="2:5" ht="15">
      <c r="B38" s="3" t="s">
        <v>208</v>
      </c>
      <c r="C38" s="3"/>
      <c r="D38" s="3"/>
      <c r="E38" s="3" t="s">
        <v>211</v>
      </c>
    </row>
    <row r="39" spans="1:5" ht="15">
      <c r="A39" s="9"/>
      <c r="B39" s="28" t="s">
        <v>209</v>
      </c>
      <c r="C39" s="28" t="s">
        <v>210</v>
      </c>
      <c r="D39" s="28" t="s">
        <v>95</v>
      </c>
      <c r="E39" s="28" t="s">
        <v>212</v>
      </c>
    </row>
    <row r="40" spans="1:5" ht="15">
      <c r="A40" s="2" t="s">
        <v>186</v>
      </c>
      <c r="B40" s="20">
        <v>100</v>
      </c>
      <c r="C40" s="20">
        <v>800</v>
      </c>
      <c r="D40" s="29">
        <v>3.1</v>
      </c>
      <c r="E40" s="20">
        <v>200</v>
      </c>
    </row>
    <row r="41" spans="1:5" ht="15">
      <c r="A41" s="2" t="s">
        <v>187</v>
      </c>
      <c r="B41" s="20">
        <v>225</v>
      </c>
      <c r="C41" s="20">
        <v>1350</v>
      </c>
      <c r="D41" s="29">
        <v>3.9</v>
      </c>
      <c r="E41" s="20">
        <v>175</v>
      </c>
    </row>
    <row r="43" ht="15">
      <c r="A43" s="2" t="s">
        <v>213</v>
      </c>
    </row>
    <row r="45" ht="15">
      <c r="A45" s="2" t="s">
        <v>214</v>
      </c>
    </row>
    <row r="46" ht="15">
      <c r="A46" s="2" t="s">
        <v>215</v>
      </c>
    </row>
    <row r="47" ht="15">
      <c r="A47" s="2" t="s">
        <v>216</v>
      </c>
    </row>
    <row r="48" ht="15">
      <c r="A48" s="2" t="s">
        <v>217</v>
      </c>
    </row>
    <row r="49" ht="15">
      <c r="A49" s="2" t="s">
        <v>218</v>
      </c>
    </row>
    <row r="50" ht="15">
      <c r="A50" s="2" t="s">
        <v>219</v>
      </c>
    </row>
    <row r="52" ht="15.75">
      <c r="A52" s="19" t="s">
        <v>214</v>
      </c>
    </row>
    <row r="55" spans="2:5" ht="15.75">
      <c r="B55" s="36" t="s">
        <v>220</v>
      </c>
      <c r="C55" s="36"/>
      <c r="D55" s="36"/>
      <c r="E55" s="30" t="s">
        <v>221</v>
      </c>
    </row>
    <row r="56" spans="1:6" ht="15">
      <c r="A56" s="9"/>
      <c r="B56" s="28" t="s">
        <v>189</v>
      </c>
      <c r="C56" s="28" t="s">
        <v>26</v>
      </c>
      <c r="D56" s="28" t="s">
        <v>27</v>
      </c>
      <c r="E56" s="28" t="s">
        <v>222</v>
      </c>
      <c r="F56" s="9" t="s">
        <v>27</v>
      </c>
    </row>
    <row r="57" spans="1:6" ht="15">
      <c r="A57" s="2" t="s">
        <v>186</v>
      </c>
      <c r="B57" s="29">
        <f>B12</f>
        <v>3</v>
      </c>
      <c r="C57" s="29">
        <f>D40</f>
        <v>3.1</v>
      </c>
      <c r="D57" s="29">
        <f>B57-C57</f>
        <v>-0.10000000000000009</v>
      </c>
      <c r="E57" s="20">
        <f>C40</f>
        <v>800</v>
      </c>
      <c r="F57" s="2">
        <f>E57*D57</f>
        <v>-80.00000000000007</v>
      </c>
    </row>
    <row r="58" spans="1:6" ht="15">
      <c r="A58" s="2" t="s">
        <v>187</v>
      </c>
      <c r="B58" s="29">
        <f>B13</f>
        <v>4</v>
      </c>
      <c r="C58" s="29">
        <f>D41</f>
        <v>3.9</v>
      </c>
      <c r="D58" s="29">
        <f>B58-C58</f>
        <v>0.10000000000000009</v>
      </c>
      <c r="E58" s="20">
        <f>C41</f>
        <v>1350</v>
      </c>
      <c r="F58" s="9">
        <f>E58*D58</f>
        <v>135.0000000000001</v>
      </c>
    </row>
    <row r="59" ht="16.5" thickBot="1">
      <c r="F59" s="10">
        <f>SUM(F57:F58)</f>
        <v>55.00000000000004</v>
      </c>
    </row>
    <row r="60" ht="15.75" thickTop="1"/>
    <row r="61" ht="15.75">
      <c r="A61" s="19" t="s">
        <v>215</v>
      </c>
    </row>
    <row r="63" spans="1:2" ht="15">
      <c r="A63" s="2" t="s">
        <v>229</v>
      </c>
      <c r="B63" s="20">
        <f>B40+B41+C40+C41-E40-E41</f>
        <v>2100</v>
      </c>
    </row>
    <row r="66" spans="2:6" ht="15">
      <c r="B66" s="3" t="s">
        <v>223</v>
      </c>
      <c r="C66" s="3"/>
      <c r="D66" s="3"/>
      <c r="E66" s="3"/>
      <c r="F66" s="3"/>
    </row>
    <row r="67" spans="2:6" ht="15">
      <c r="B67" s="3" t="s">
        <v>225</v>
      </c>
      <c r="C67" s="3" t="s">
        <v>228</v>
      </c>
      <c r="D67" s="3"/>
      <c r="E67" s="3" t="s">
        <v>189</v>
      </c>
      <c r="F67" s="3"/>
    </row>
    <row r="68" spans="1:6" ht="15">
      <c r="A68" s="9"/>
      <c r="B68" s="28" t="s">
        <v>224</v>
      </c>
      <c r="C68" s="28" t="s">
        <v>227</v>
      </c>
      <c r="D68" s="28" t="s">
        <v>27</v>
      </c>
      <c r="E68" s="28" t="s">
        <v>34</v>
      </c>
      <c r="F68" s="28" t="s">
        <v>27</v>
      </c>
    </row>
    <row r="69" spans="1:6" ht="15">
      <c r="A69" s="2" t="s">
        <v>186</v>
      </c>
      <c r="B69" s="2">
        <f>B63*D12</f>
        <v>525</v>
      </c>
      <c r="C69" s="2">
        <f>B40+C40-E40</f>
        <v>700</v>
      </c>
      <c r="D69" s="2">
        <f>B69-C69</f>
        <v>-175</v>
      </c>
      <c r="E69" s="2">
        <f>B12</f>
        <v>3</v>
      </c>
      <c r="F69" s="2">
        <f>D69*E69</f>
        <v>-525</v>
      </c>
    </row>
    <row r="70" spans="1:6" ht="15">
      <c r="A70" s="2" t="s">
        <v>187</v>
      </c>
      <c r="B70" s="9">
        <f>B63*D13</f>
        <v>1575</v>
      </c>
      <c r="C70" s="9">
        <f>B41+C41-E41</f>
        <v>1400</v>
      </c>
      <c r="D70" s="9">
        <f>B70-C70</f>
        <v>175</v>
      </c>
      <c r="E70" s="9">
        <f>B13</f>
        <v>4</v>
      </c>
      <c r="F70" s="9">
        <f>D70*E70</f>
        <v>700</v>
      </c>
    </row>
    <row r="71" spans="2:6" ht="16.5" thickBot="1">
      <c r="B71" s="2">
        <f>SUM(B69:B70)</f>
        <v>2100</v>
      </c>
      <c r="C71" s="2">
        <f>SUM(C69:C70)</f>
        <v>2100</v>
      </c>
      <c r="D71" s="2">
        <f>SUM(D69:D70)</f>
        <v>0</v>
      </c>
      <c r="F71" s="10">
        <f>SUM(F69:F70)</f>
        <v>175</v>
      </c>
    </row>
    <row r="72" ht="15.75" thickTop="1"/>
    <row r="74" ht="15.75">
      <c r="A74" s="19" t="s">
        <v>216</v>
      </c>
    </row>
    <row r="76" spans="2:6" ht="15">
      <c r="B76" s="3" t="s">
        <v>223</v>
      </c>
      <c r="C76" s="3" t="s">
        <v>189</v>
      </c>
      <c r="D76" s="3"/>
      <c r="E76" s="3"/>
      <c r="F76" s="3"/>
    </row>
    <row r="77" spans="2:6" ht="15">
      <c r="B77" s="3" t="s">
        <v>225</v>
      </c>
      <c r="C77" s="3" t="s">
        <v>225</v>
      </c>
      <c r="D77" s="3"/>
      <c r="E77" s="3" t="s">
        <v>189</v>
      </c>
      <c r="F77" s="3"/>
    </row>
    <row r="78" spans="1:6" ht="15">
      <c r="A78" s="9"/>
      <c r="B78" s="28" t="s">
        <v>224</v>
      </c>
      <c r="C78" s="28" t="s">
        <v>224</v>
      </c>
      <c r="D78" s="28" t="s">
        <v>27</v>
      </c>
      <c r="E78" s="28" t="s">
        <v>34</v>
      </c>
      <c r="F78" s="28" t="s">
        <v>27</v>
      </c>
    </row>
    <row r="79" spans="1:6" ht="15">
      <c r="A79" s="2" t="s">
        <v>186</v>
      </c>
      <c r="B79" s="2">
        <f>B69</f>
        <v>525</v>
      </c>
      <c r="C79" s="2">
        <f>C12*B27</f>
        <v>500</v>
      </c>
      <c r="D79" s="2">
        <f>C79-B79</f>
        <v>-25</v>
      </c>
      <c r="E79" s="2">
        <f>E69</f>
        <v>3</v>
      </c>
      <c r="F79" s="2">
        <f>D79*E79</f>
        <v>-75</v>
      </c>
    </row>
    <row r="80" spans="1:6" ht="15">
      <c r="A80" s="2" t="s">
        <v>187</v>
      </c>
      <c r="B80" s="9">
        <f>B70</f>
        <v>1575</v>
      </c>
      <c r="C80" s="9">
        <f>C13*B27</f>
        <v>1500</v>
      </c>
      <c r="D80" s="9">
        <f>C80-B80</f>
        <v>-75</v>
      </c>
      <c r="E80" s="9">
        <f>E70</f>
        <v>4</v>
      </c>
      <c r="F80" s="9">
        <f>D80*E80</f>
        <v>-300</v>
      </c>
    </row>
    <row r="81" spans="2:6" ht="16.5" thickBot="1">
      <c r="B81" s="2">
        <f>SUM(B79:B80)</f>
        <v>2100</v>
      </c>
      <c r="C81" s="2">
        <f>SUM(C79:C80)</f>
        <v>2000</v>
      </c>
      <c r="D81" s="2">
        <f>SUM(D79:D80)</f>
        <v>-100</v>
      </c>
      <c r="F81" s="10">
        <f>SUM(F79:F80)</f>
        <v>-375</v>
      </c>
    </row>
    <row r="82" ht="15.75" thickTop="1"/>
    <row r="83" ht="15.75">
      <c r="A83" s="19" t="s">
        <v>230</v>
      </c>
    </row>
    <row r="85" spans="1:2" ht="15">
      <c r="A85" s="2" t="s">
        <v>231</v>
      </c>
      <c r="B85" s="2">
        <f>F59</f>
        <v>55.00000000000004</v>
      </c>
    </row>
    <row r="86" spans="1:2" ht="15">
      <c r="A86" s="2" t="s">
        <v>232</v>
      </c>
      <c r="B86" s="2">
        <f>F71</f>
        <v>175</v>
      </c>
    </row>
    <row r="87" spans="1:2" ht="15">
      <c r="A87" s="9" t="s">
        <v>233</v>
      </c>
      <c r="B87" s="9">
        <f>F81</f>
        <v>-375</v>
      </c>
    </row>
    <row r="88" spans="1:2" ht="16.5" thickBot="1">
      <c r="A88" s="10" t="s">
        <v>234</v>
      </c>
      <c r="B88" s="10">
        <f>SUM(B85:B87)</f>
        <v>-144.99999999999994</v>
      </c>
    </row>
    <row r="89" ht="15.75" thickTop="1"/>
    <row r="90" ht="15">
      <c r="A90" s="2" t="s">
        <v>235</v>
      </c>
    </row>
    <row r="91" ht="15">
      <c r="A91" s="2" t="s">
        <v>236</v>
      </c>
    </row>
    <row r="94" ht="15.75">
      <c r="A94" s="19" t="s">
        <v>217</v>
      </c>
    </row>
    <row r="96" spans="2:3" ht="15.75">
      <c r="B96" s="36" t="s">
        <v>237</v>
      </c>
      <c r="C96" s="36"/>
    </row>
    <row r="97" spans="1:6" ht="15">
      <c r="A97" s="9"/>
      <c r="B97" s="28" t="s">
        <v>189</v>
      </c>
      <c r="C97" s="28" t="s">
        <v>26</v>
      </c>
      <c r="D97" s="28" t="s">
        <v>27</v>
      </c>
      <c r="E97" s="28" t="s">
        <v>238</v>
      </c>
      <c r="F97" s="28" t="s">
        <v>27</v>
      </c>
    </row>
    <row r="98" spans="1:6" ht="15">
      <c r="A98" s="2" t="s">
        <v>197</v>
      </c>
      <c r="B98" s="13">
        <f>C23</f>
        <v>2</v>
      </c>
      <c r="C98" s="13">
        <f>C32</f>
        <v>2.5</v>
      </c>
      <c r="D98" s="13">
        <f>B98-C98</f>
        <v>-0.5</v>
      </c>
      <c r="E98" s="2">
        <f>B32</f>
        <v>380</v>
      </c>
      <c r="F98" s="2">
        <f>D98*E98</f>
        <v>-190</v>
      </c>
    </row>
    <row r="99" spans="1:6" ht="15">
      <c r="A99" s="2" t="s">
        <v>198</v>
      </c>
      <c r="B99" s="14">
        <f>C24</f>
        <v>3</v>
      </c>
      <c r="C99" s="14">
        <f>C33</f>
        <v>3.25</v>
      </c>
      <c r="D99" s="14">
        <f>B99-C99</f>
        <v>-0.25</v>
      </c>
      <c r="E99" s="9">
        <f>B33</f>
        <v>600</v>
      </c>
      <c r="F99" s="9">
        <f>E99*D99</f>
        <v>-150</v>
      </c>
    </row>
    <row r="100" ht="16.5" thickBot="1">
      <c r="F100" s="10">
        <f>SUM(F98:F99)</f>
        <v>-340</v>
      </c>
    </row>
    <row r="101" ht="15.75" thickTop="1"/>
    <row r="103" ht="15.75">
      <c r="A103" s="19" t="s">
        <v>218</v>
      </c>
    </row>
    <row r="105" spans="2:6" ht="15">
      <c r="B105" s="3" t="s">
        <v>238</v>
      </c>
      <c r="C105" s="3" t="s">
        <v>240</v>
      </c>
      <c r="D105" s="3"/>
      <c r="E105" s="3"/>
      <c r="F105" s="3"/>
    </row>
    <row r="106" spans="2:6" ht="15">
      <c r="B106" s="3" t="s">
        <v>239</v>
      </c>
      <c r="C106" s="3" t="s">
        <v>239</v>
      </c>
      <c r="D106" s="3"/>
      <c r="E106" s="3" t="s">
        <v>189</v>
      </c>
      <c r="F106" s="3"/>
    </row>
    <row r="107" spans="1:6" ht="15">
      <c r="A107" s="9"/>
      <c r="B107" s="28" t="s">
        <v>224</v>
      </c>
      <c r="C107" s="28" t="s">
        <v>226</v>
      </c>
      <c r="D107" s="28" t="s">
        <v>27</v>
      </c>
      <c r="E107" s="28" t="s">
        <v>241</v>
      </c>
      <c r="F107" s="28" t="s">
        <v>27</v>
      </c>
    </row>
    <row r="108" spans="1:6" ht="15">
      <c r="A108" s="2" t="s">
        <v>197</v>
      </c>
      <c r="B108" s="17">
        <f>E23*B34</f>
        <v>392</v>
      </c>
      <c r="C108" s="17">
        <f>B32</f>
        <v>380</v>
      </c>
      <c r="D108" s="17">
        <f>B108-C108</f>
        <v>12</v>
      </c>
      <c r="E108" s="7">
        <f>C23</f>
        <v>2</v>
      </c>
      <c r="F108" s="7">
        <f>D108*E108</f>
        <v>24</v>
      </c>
    </row>
    <row r="109" spans="1:6" ht="15">
      <c r="A109" s="2" t="s">
        <v>198</v>
      </c>
      <c r="B109" s="31">
        <f>E24*B34</f>
        <v>588</v>
      </c>
      <c r="C109" s="31">
        <f>B33</f>
        <v>600</v>
      </c>
      <c r="D109" s="31">
        <f>B109-C109</f>
        <v>-12</v>
      </c>
      <c r="E109" s="15">
        <f>C24</f>
        <v>3</v>
      </c>
      <c r="F109" s="15">
        <f>D109*E109</f>
        <v>-36</v>
      </c>
    </row>
    <row r="110" spans="2:6" ht="16.5" thickBot="1">
      <c r="B110" s="17">
        <f>SUM(B108:B109)</f>
        <v>980</v>
      </c>
      <c r="C110" s="17">
        <f>SUM(C108:C109)</f>
        <v>980</v>
      </c>
      <c r="D110" s="17">
        <f>SUM(D108:D109)</f>
        <v>0</v>
      </c>
      <c r="F110" s="32">
        <f>SUM(F108:F109)</f>
        <v>-12</v>
      </c>
    </row>
    <row r="111" ht="15.75" thickTop="1"/>
    <row r="113" ht="15.75">
      <c r="A113" s="19" t="s">
        <v>219</v>
      </c>
    </row>
    <row r="115" spans="2:6" ht="15">
      <c r="B115" s="3" t="s">
        <v>238</v>
      </c>
      <c r="C115" s="3" t="s">
        <v>240</v>
      </c>
      <c r="D115" s="3"/>
      <c r="E115" s="3"/>
      <c r="F115" s="3"/>
    </row>
    <row r="116" spans="2:6" ht="15">
      <c r="B116" s="3" t="s">
        <v>239</v>
      </c>
      <c r="C116" s="3" t="s">
        <v>239</v>
      </c>
      <c r="D116" s="3"/>
      <c r="E116" s="3" t="s">
        <v>189</v>
      </c>
      <c r="F116" s="3"/>
    </row>
    <row r="117" spans="1:6" ht="15">
      <c r="A117" s="9"/>
      <c r="B117" s="28" t="s">
        <v>224</v>
      </c>
      <c r="C117" s="28" t="s">
        <v>224</v>
      </c>
      <c r="D117" s="28" t="s">
        <v>27</v>
      </c>
      <c r="E117" s="28" t="s">
        <v>241</v>
      </c>
      <c r="F117" s="28" t="s">
        <v>27</v>
      </c>
    </row>
    <row r="118" spans="1:6" ht="15">
      <c r="A118" s="2" t="s">
        <v>197</v>
      </c>
      <c r="B118" s="17">
        <f>B108</f>
        <v>392</v>
      </c>
      <c r="C118" s="17">
        <f>E23*B27*B25</f>
        <v>400</v>
      </c>
      <c r="D118" s="17">
        <f>C118-B118</f>
        <v>8</v>
      </c>
      <c r="E118" s="7">
        <f>E108</f>
        <v>2</v>
      </c>
      <c r="F118" s="7">
        <f>D118*E118</f>
        <v>16</v>
      </c>
    </row>
    <row r="119" spans="1:6" ht="15">
      <c r="A119" s="2" t="s">
        <v>198</v>
      </c>
      <c r="B119" s="31">
        <f>B109</f>
        <v>588</v>
      </c>
      <c r="C119" s="31">
        <f>E24*B27*B25</f>
        <v>600</v>
      </c>
      <c r="D119" s="31">
        <f>C119-B119</f>
        <v>12</v>
      </c>
      <c r="E119" s="15">
        <f>E109</f>
        <v>3</v>
      </c>
      <c r="F119" s="15">
        <f>D119*E119</f>
        <v>36</v>
      </c>
    </row>
    <row r="120" spans="2:6" ht="16.5" thickBot="1">
      <c r="B120" s="17">
        <f>SUM(B118:B119)</f>
        <v>980</v>
      </c>
      <c r="C120" s="17">
        <f>SUM(C118:C119)</f>
        <v>1000</v>
      </c>
      <c r="D120" s="17">
        <f>SUM(D118:D119)</f>
        <v>20</v>
      </c>
      <c r="F120" s="32">
        <f>SUM(F118:F119)</f>
        <v>52</v>
      </c>
    </row>
    <row r="121" ht="15.75" thickTop="1"/>
    <row r="122" ht="15">
      <c r="A122" s="2" t="s">
        <v>242</v>
      </c>
    </row>
    <row r="124" spans="1:2" ht="15">
      <c r="A124" s="2" t="s">
        <v>243</v>
      </c>
      <c r="B124" s="2">
        <f>F100</f>
        <v>-340</v>
      </c>
    </row>
    <row r="125" spans="1:2" ht="15">
      <c r="A125" s="2" t="s">
        <v>244</v>
      </c>
      <c r="B125" s="2">
        <f>F110</f>
        <v>-12</v>
      </c>
    </row>
    <row r="126" spans="1:2" ht="15">
      <c r="A126" s="9" t="s">
        <v>245</v>
      </c>
      <c r="B126" s="9">
        <f>F120</f>
        <v>52</v>
      </c>
    </row>
    <row r="127" spans="1:2" ht="16.5" thickBot="1">
      <c r="A127" s="10" t="s">
        <v>246</v>
      </c>
      <c r="B127" s="10">
        <f>SUM(B124:B126)</f>
        <v>-300</v>
      </c>
    </row>
    <row r="128" ht="15.75" thickTop="1"/>
    <row r="130" ht="15.75">
      <c r="A130" s="19" t="s">
        <v>247</v>
      </c>
    </row>
    <row r="133" spans="5:8" ht="15">
      <c r="E133" s="3" t="s">
        <v>189</v>
      </c>
      <c r="F133" s="3" t="s">
        <v>189</v>
      </c>
      <c r="G133" s="3" t="s">
        <v>189</v>
      </c>
      <c r="H133" s="3"/>
    </row>
    <row r="134" spans="1:8" ht="15">
      <c r="A134" s="9"/>
      <c r="B134" s="28" t="s">
        <v>238</v>
      </c>
      <c r="C134" s="28" t="s">
        <v>248</v>
      </c>
      <c r="D134" s="28" t="s">
        <v>122</v>
      </c>
      <c r="E134" s="28" t="s">
        <v>249</v>
      </c>
      <c r="F134" s="28" t="s">
        <v>241</v>
      </c>
      <c r="G134" s="28" t="s">
        <v>250</v>
      </c>
      <c r="H134" s="28" t="s">
        <v>27</v>
      </c>
    </row>
    <row r="135" spans="1:8" ht="15">
      <c r="A135" s="2" t="s">
        <v>197</v>
      </c>
      <c r="B135" s="17">
        <f>B32</f>
        <v>380</v>
      </c>
      <c r="C135" s="13">
        <f>C32</f>
        <v>2.5</v>
      </c>
      <c r="D135" s="2">
        <f>B135*C135</f>
        <v>950</v>
      </c>
      <c r="E135" s="17">
        <f>E23*B25*B27</f>
        <v>400</v>
      </c>
      <c r="F135" s="13">
        <f>C23</f>
        <v>2</v>
      </c>
      <c r="G135" s="2">
        <f>E135*F135</f>
        <v>800</v>
      </c>
      <c r="H135" s="2">
        <f>G135-D135</f>
        <v>-150</v>
      </c>
    </row>
    <row r="136" spans="1:8" ht="15">
      <c r="A136" s="2" t="s">
        <v>198</v>
      </c>
      <c r="B136" s="31">
        <f>B33</f>
        <v>600</v>
      </c>
      <c r="C136" s="14">
        <f>C33</f>
        <v>3.25</v>
      </c>
      <c r="D136" s="9">
        <f>B136*C136</f>
        <v>1950</v>
      </c>
      <c r="E136" s="31">
        <f>E24*B25*B27</f>
        <v>600</v>
      </c>
      <c r="F136" s="14">
        <f>C24</f>
        <v>3</v>
      </c>
      <c r="G136" s="9">
        <f>E136*F136</f>
        <v>1800</v>
      </c>
      <c r="H136" s="9">
        <f>G136-D136</f>
        <v>-150</v>
      </c>
    </row>
    <row r="137" spans="2:8" ht="16.5" thickBot="1">
      <c r="B137" s="33"/>
      <c r="C137" s="34"/>
      <c r="D137" s="10">
        <f>SUM(D135:D136)</f>
        <v>2900</v>
      </c>
      <c r="E137" s="33"/>
      <c r="F137" s="34"/>
      <c r="G137" s="10">
        <f>SUM(G135:G136)</f>
        <v>2600</v>
      </c>
      <c r="H137" s="10">
        <f>SUM(H135:H136)</f>
        <v>-300</v>
      </c>
    </row>
    <row r="138" ht="15.75" thickTop="1"/>
    <row r="139" ht="15">
      <c r="A139" s="2" t="s">
        <v>251</v>
      </c>
    </row>
    <row r="140" ht="15">
      <c r="A140" s="2" t="s">
        <v>252</v>
      </c>
    </row>
    <row r="141" ht="15">
      <c r="A141" s="2" t="s">
        <v>253</v>
      </c>
    </row>
    <row r="142" ht="15">
      <c r="A142" s="2" t="s">
        <v>254</v>
      </c>
    </row>
    <row r="144" ht="15">
      <c r="A144" s="2" t="s">
        <v>255</v>
      </c>
    </row>
    <row r="145" ht="15">
      <c r="A145" s="2" t="s">
        <v>256</v>
      </c>
    </row>
    <row r="146" ht="15">
      <c r="A146" s="2" t="s">
        <v>257</v>
      </c>
    </row>
  </sheetData>
  <mergeCells count="2">
    <mergeCell ref="B55:D55"/>
    <mergeCell ref="B96:C96"/>
  </mergeCells>
  <printOptions/>
  <pageMargins left="0.75" right="0.75" top="1" bottom="1" header="0.4921259845" footer="0.492125984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8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7.421875" style="2" customWidth="1"/>
    <col min="2" max="2" width="19.421875" style="2" customWidth="1"/>
    <col min="3" max="3" width="20.00390625" style="2" customWidth="1"/>
    <col min="4" max="4" width="13.421875" style="2" customWidth="1"/>
    <col min="5" max="5" width="13.7109375" style="2" customWidth="1"/>
    <col min="6" max="6" width="14.00390625" style="2" customWidth="1"/>
    <col min="7" max="16384" width="11.421875" style="2" customWidth="1"/>
  </cols>
  <sheetData>
    <row r="1" ht="20.25">
      <c r="A1" s="1" t="s">
        <v>290</v>
      </c>
    </row>
    <row r="4" ht="15">
      <c r="A4" s="2" t="s">
        <v>258</v>
      </c>
    </row>
    <row r="6" ht="15">
      <c r="A6" s="2" t="s">
        <v>185</v>
      </c>
    </row>
    <row r="8" spans="1:5" ht="15">
      <c r="A8" s="2" t="s">
        <v>186</v>
      </c>
      <c r="B8" s="20">
        <v>36</v>
      </c>
      <c r="C8" s="2" t="s">
        <v>95</v>
      </c>
      <c r="D8" s="7">
        <v>1</v>
      </c>
      <c r="E8" s="7">
        <f>B8*D8</f>
        <v>36</v>
      </c>
    </row>
    <row r="9" spans="1:5" ht="15">
      <c r="A9" s="2" t="s">
        <v>187</v>
      </c>
      <c r="B9" s="20">
        <v>48</v>
      </c>
      <c r="C9" s="2" t="s">
        <v>95</v>
      </c>
      <c r="D9" s="7">
        <v>2</v>
      </c>
      <c r="E9" s="7">
        <f>B9*D9</f>
        <v>96</v>
      </c>
    </row>
    <row r="10" spans="1:5" ht="15">
      <c r="A10" s="2" t="s">
        <v>259</v>
      </c>
      <c r="B10" s="22">
        <v>36</v>
      </c>
      <c r="C10" s="9" t="s">
        <v>95</v>
      </c>
      <c r="D10" s="15">
        <v>1.75</v>
      </c>
      <c r="E10" s="15">
        <f>B10*D10</f>
        <v>63</v>
      </c>
    </row>
    <row r="11" spans="2:5" ht="15">
      <c r="B11" s="20">
        <f>SUM(B8:B10)</f>
        <v>120</v>
      </c>
      <c r="E11" s="7">
        <f>SUM(E8:E10)</f>
        <v>195</v>
      </c>
    </row>
    <row r="14" spans="1:3" ht="15">
      <c r="A14" s="2" t="s">
        <v>260</v>
      </c>
      <c r="B14" s="20">
        <v>100</v>
      </c>
      <c r="C14" s="2" t="s">
        <v>261</v>
      </c>
    </row>
    <row r="15" spans="1:2" ht="15">
      <c r="A15" s="2" t="s">
        <v>262</v>
      </c>
      <c r="B15" s="35">
        <f>E11/B11</f>
        <v>1.625</v>
      </c>
    </row>
    <row r="17" spans="1:4" ht="15">
      <c r="A17" s="2" t="s">
        <v>263</v>
      </c>
      <c r="B17" s="20">
        <f>B11</f>
        <v>120</v>
      </c>
      <c r="C17" s="20" t="s">
        <v>264</v>
      </c>
      <c r="D17" s="20">
        <f>B14</f>
        <v>100</v>
      </c>
    </row>
    <row r="18" spans="1:5" ht="15">
      <c r="A18" s="2" t="s">
        <v>265</v>
      </c>
      <c r="B18" s="2">
        <v>400</v>
      </c>
      <c r="C18" s="2" t="s">
        <v>266</v>
      </c>
      <c r="E18" s="7">
        <v>3.5</v>
      </c>
    </row>
    <row r="19" spans="1:3" ht="15">
      <c r="A19" s="2" t="s">
        <v>267</v>
      </c>
      <c r="B19" s="7">
        <f>B18*E18/B14</f>
        <v>14</v>
      </c>
      <c r="C19" s="2" t="s">
        <v>268</v>
      </c>
    </row>
    <row r="21" spans="1:3" ht="15">
      <c r="A21" s="2" t="s">
        <v>202</v>
      </c>
      <c r="B21" s="20">
        <v>4250</v>
      </c>
      <c r="C21" s="2" t="s">
        <v>269</v>
      </c>
    </row>
    <row r="22" spans="1:4" ht="15">
      <c r="A22" s="2" t="s">
        <v>110</v>
      </c>
      <c r="B22" s="17">
        <v>15250</v>
      </c>
      <c r="C22" s="2" t="s">
        <v>95</v>
      </c>
      <c r="D22" s="7">
        <v>3.5</v>
      </c>
    </row>
    <row r="23" ht="15">
      <c r="A23" s="2" t="s">
        <v>271</v>
      </c>
    </row>
    <row r="24" spans="2:5" ht="15">
      <c r="B24" s="9" t="s">
        <v>270</v>
      </c>
      <c r="C24" s="9" t="s">
        <v>95</v>
      </c>
      <c r="D24" s="9" t="s">
        <v>272</v>
      </c>
      <c r="E24" s="9"/>
    </row>
    <row r="25" spans="1:4" ht="15">
      <c r="A25" s="2" t="s">
        <v>186</v>
      </c>
      <c r="B25" s="20">
        <v>1200</v>
      </c>
      <c r="C25" s="7">
        <v>1.1</v>
      </c>
      <c r="D25" s="20">
        <v>1160</v>
      </c>
    </row>
    <row r="26" spans="1:4" ht="15">
      <c r="A26" s="2" t="s">
        <v>187</v>
      </c>
      <c r="B26" s="20">
        <v>1800</v>
      </c>
      <c r="C26" s="7">
        <v>1.95</v>
      </c>
      <c r="D26" s="20">
        <v>1820</v>
      </c>
    </row>
    <row r="27" spans="1:5" ht="15">
      <c r="A27" s="2" t="s">
        <v>259</v>
      </c>
      <c r="B27" s="22">
        <v>1500</v>
      </c>
      <c r="C27" s="15">
        <v>1.8</v>
      </c>
      <c r="D27" s="22">
        <v>1480</v>
      </c>
      <c r="E27" s="9"/>
    </row>
    <row r="28" spans="2:4" ht="15">
      <c r="B28" s="20"/>
      <c r="C28" s="7"/>
      <c r="D28" s="20">
        <f>SUM(D25:D27)</f>
        <v>4460</v>
      </c>
    </row>
    <row r="30" ht="15">
      <c r="A30" s="2" t="s">
        <v>273</v>
      </c>
    </row>
    <row r="32" ht="15.75">
      <c r="A32" s="19" t="s">
        <v>274</v>
      </c>
    </row>
    <row r="34" ht="15.75">
      <c r="A34" s="19" t="s">
        <v>275</v>
      </c>
    </row>
    <row r="36" spans="2:5" ht="15">
      <c r="B36" s="37" t="s">
        <v>276</v>
      </c>
      <c r="C36" s="37"/>
      <c r="D36" s="37"/>
      <c r="E36" s="3" t="s">
        <v>221</v>
      </c>
    </row>
    <row r="37" spans="2:6" ht="15">
      <c r="B37" s="28" t="s">
        <v>189</v>
      </c>
      <c r="C37" s="28" t="s">
        <v>26</v>
      </c>
      <c r="D37" s="28" t="s">
        <v>27</v>
      </c>
      <c r="E37" s="28" t="s">
        <v>17</v>
      </c>
      <c r="F37" s="9" t="s">
        <v>27</v>
      </c>
    </row>
    <row r="38" spans="1:6" ht="15">
      <c r="A38" s="2" t="s">
        <v>186</v>
      </c>
      <c r="B38" s="7">
        <f>D8</f>
        <v>1</v>
      </c>
      <c r="C38" s="7">
        <f>C25</f>
        <v>1.1</v>
      </c>
      <c r="D38" s="7">
        <f>B38-C38</f>
        <v>-0.10000000000000009</v>
      </c>
      <c r="E38" s="20">
        <f>B25</f>
        <v>1200</v>
      </c>
      <c r="F38" s="7">
        <f>D38*E38</f>
        <v>-120.00000000000011</v>
      </c>
    </row>
    <row r="39" spans="1:6" ht="15">
      <c r="A39" s="2" t="s">
        <v>187</v>
      </c>
      <c r="B39" s="7">
        <f>D9</f>
        <v>2</v>
      </c>
      <c r="C39" s="7">
        <f>C26</f>
        <v>1.95</v>
      </c>
      <c r="D39" s="7">
        <f>B39-C39</f>
        <v>0.050000000000000044</v>
      </c>
      <c r="E39" s="20">
        <f>B26</f>
        <v>1800</v>
      </c>
      <c r="F39" s="7">
        <f>D39*E39</f>
        <v>90.00000000000009</v>
      </c>
    </row>
    <row r="40" spans="1:6" ht="15">
      <c r="A40" s="2" t="s">
        <v>259</v>
      </c>
      <c r="B40" s="15">
        <f>D10</f>
        <v>1.75</v>
      </c>
      <c r="C40" s="15">
        <f>C27</f>
        <v>1.8</v>
      </c>
      <c r="D40" s="15">
        <f>B40-C40</f>
        <v>-0.050000000000000044</v>
      </c>
      <c r="E40" s="22">
        <f>B27</f>
        <v>1500</v>
      </c>
      <c r="F40" s="15">
        <f>D40*E40</f>
        <v>-75.00000000000007</v>
      </c>
    </row>
    <row r="41" ht="16.5" thickBot="1">
      <c r="F41" s="32">
        <f>SUM(F38:F40)</f>
        <v>-105.0000000000001</v>
      </c>
    </row>
    <row r="42" ht="15.75" thickTop="1"/>
    <row r="44" ht="15.75">
      <c r="A44" s="19" t="s">
        <v>277</v>
      </c>
    </row>
    <row r="46" spans="2:6" ht="15">
      <c r="B46" s="3" t="s">
        <v>278</v>
      </c>
      <c r="C46" s="3" t="s">
        <v>16</v>
      </c>
      <c r="D46" s="3"/>
      <c r="E46" s="3" t="s">
        <v>189</v>
      </c>
      <c r="F46" s="3"/>
    </row>
    <row r="47" spans="2:6" ht="15">
      <c r="B47" s="28" t="s">
        <v>227</v>
      </c>
      <c r="C47" s="28" t="s">
        <v>279</v>
      </c>
      <c r="D47" s="28" t="s">
        <v>27</v>
      </c>
      <c r="E47" s="28" t="s">
        <v>280</v>
      </c>
      <c r="F47" s="28" t="s">
        <v>27</v>
      </c>
    </row>
    <row r="48" spans="1:6" ht="15">
      <c r="A48" s="2" t="s">
        <v>186</v>
      </c>
      <c r="B48" s="20">
        <f>D25</f>
        <v>1160</v>
      </c>
      <c r="C48" s="20">
        <f>B21/B11*B8</f>
        <v>1275</v>
      </c>
      <c r="D48" s="20">
        <f>C48-B48</f>
        <v>115</v>
      </c>
      <c r="E48" s="7">
        <f>D8</f>
        <v>1</v>
      </c>
      <c r="F48" s="7">
        <f>D48*E48</f>
        <v>115</v>
      </c>
    </row>
    <row r="49" spans="1:6" ht="15">
      <c r="A49" s="2" t="s">
        <v>187</v>
      </c>
      <c r="B49" s="20">
        <f>D26</f>
        <v>1820</v>
      </c>
      <c r="C49" s="20">
        <f>B21/B11*B9</f>
        <v>1700</v>
      </c>
      <c r="D49" s="20">
        <f>C49-B49</f>
        <v>-120</v>
      </c>
      <c r="E49" s="7">
        <f>D9</f>
        <v>2</v>
      </c>
      <c r="F49" s="7">
        <f>E49*D49</f>
        <v>-240</v>
      </c>
    </row>
    <row r="50" spans="1:6" ht="15">
      <c r="A50" s="2" t="s">
        <v>259</v>
      </c>
      <c r="B50" s="22">
        <f>D27</f>
        <v>1480</v>
      </c>
      <c r="C50" s="22">
        <f>B21/B11*B10</f>
        <v>1275</v>
      </c>
      <c r="D50" s="22">
        <f>C50-B50</f>
        <v>-205</v>
      </c>
      <c r="E50" s="15">
        <f>D10</f>
        <v>1.75</v>
      </c>
      <c r="F50" s="15">
        <f>E50*D50</f>
        <v>-358.75</v>
      </c>
    </row>
    <row r="51" spans="2:6" ht="16.5" thickBot="1">
      <c r="B51" s="20">
        <f>SUM(B48:B50)</f>
        <v>4460</v>
      </c>
      <c r="C51" s="20">
        <f>SUM(C48:C50)</f>
        <v>4250</v>
      </c>
      <c r="D51" s="20">
        <f>SUM(D48:D50)</f>
        <v>-210</v>
      </c>
      <c r="F51" s="32">
        <f>SUM(F48:F50)</f>
        <v>-483.75</v>
      </c>
    </row>
    <row r="52" ht="15.75" thickTop="1"/>
    <row r="54" ht="15.75">
      <c r="A54" s="19" t="s">
        <v>281</v>
      </c>
    </row>
    <row r="56" spans="2:6" ht="15">
      <c r="B56" s="3" t="s">
        <v>16</v>
      </c>
      <c r="C56" s="3" t="s">
        <v>278</v>
      </c>
      <c r="D56" s="3"/>
      <c r="E56" s="3" t="s">
        <v>189</v>
      </c>
      <c r="F56" s="3"/>
    </row>
    <row r="57" spans="2:6" ht="15">
      <c r="B57" s="28" t="s">
        <v>283</v>
      </c>
      <c r="C57" s="28" t="s">
        <v>227</v>
      </c>
      <c r="D57" s="28" t="s">
        <v>27</v>
      </c>
      <c r="E57" s="28" t="s">
        <v>280</v>
      </c>
      <c r="F57" s="28" t="s">
        <v>27</v>
      </c>
    </row>
    <row r="58" spans="1:6" ht="15">
      <c r="A58" s="2" t="s">
        <v>186</v>
      </c>
      <c r="B58" s="20">
        <f>D28/B11*B8</f>
        <v>1338</v>
      </c>
      <c r="C58" s="20">
        <f>B48</f>
        <v>1160</v>
      </c>
      <c r="D58" s="20">
        <f>B58-C58</f>
        <v>178</v>
      </c>
      <c r="E58" s="7">
        <f>E48</f>
        <v>1</v>
      </c>
      <c r="F58" s="7">
        <f>E58*D58</f>
        <v>178</v>
      </c>
    </row>
    <row r="59" spans="1:6" ht="15">
      <c r="A59" s="2" t="s">
        <v>187</v>
      </c>
      <c r="B59" s="20">
        <f>D28/B11*B9</f>
        <v>1784</v>
      </c>
      <c r="C59" s="20">
        <f>B49</f>
        <v>1820</v>
      </c>
      <c r="D59" s="20">
        <f>B59-C59</f>
        <v>-36</v>
      </c>
      <c r="E59" s="7">
        <f>E49</f>
        <v>2</v>
      </c>
      <c r="F59" s="7">
        <f>E59*D59</f>
        <v>-72</v>
      </c>
    </row>
    <row r="60" spans="1:6" ht="15">
      <c r="A60" s="2" t="s">
        <v>259</v>
      </c>
      <c r="B60" s="22">
        <f>D28/B11*B10</f>
        <v>1338</v>
      </c>
      <c r="C60" s="22">
        <f>B50</f>
        <v>1480</v>
      </c>
      <c r="D60" s="22">
        <f>B60-C60</f>
        <v>-142</v>
      </c>
      <c r="E60" s="15">
        <f>E50</f>
        <v>1.75</v>
      </c>
      <c r="F60" s="15">
        <f>E60*D60</f>
        <v>-248.5</v>
      </c>
    </row>
    <row r="61" spans="2:6" ht="16.5" thickBot="1">
      <c r="B61" s="20">
        <f>SUM(B58:B60)</f>
        <v>4460</v>
      </c>
      <c r="C61" s="20">
        <f>SUM(C58:C60)</f>
        <v>4460</v>
      </c>
      <c r="F61" s="32">
        <f>SUM(F58:F60)</f>
        <v>-142.5</v>
      </c>
    </row>
    <row r="62" ht="15.75" thickTop="1"/>
    <row r="64" ht="15.75">
      <c r="A64" s="19" t="s">
        <v>282</v>
      </c>
    </row>
    <row r="66" spans="2:6" ht="15">
      <c r="B66" s="3" t="s">
        <v>16</v>
      </c>
      <c r="C66" s="3" t="s">
        <v>16</v>
      </c>
      <c r="D66" s="3"/>
      <c r="E66" s="3" t="s">
        <v>189</v>
      </c>
      <c r="F66" s="3"/>
    </row>
    <row r="67" spans="2:6" ht="15">
      <c r="B67" s="28" t="s">
        <v>283</v>
      </c>
      <c r="C67" s="28" t="s">
        <v>279</v>
      </c>
      <c r="D67" s="28" t="s">
        <v>27</v>
      </c>
      <c r="E67" s="28" t="s">
        <v>280</v>
      </c>
      <c r="F67" s="28" t="s">
        <v>27</v>
      </c>
    </row>
    <row r="68" spans="1:6" ht="15">
      <c r="A68" s="2" t="s">
        <v>186</v>
      </c>
      <c r="B68" s="20">
        <f>B58</f>
        <v>1338</v>
      </c>
      <c r="C68" s="20">
        <f>C48</f>
        <v>1275</v>
      </c>
      <c r="D68" s="20">
        <f>C68-B68</f>
        <v>-63</v>
      </c>
      <c r="E68" s="7">
        <f>E58</f>
        <v>1</v>
      </c>
      <c r="F68" s="7">
        <f>E68*D68</f>
        <v>-63</v>
      </c>
    </row>
    <row r="69" spans="1:6" ht="15">
      <c r="A69" s="2" t="s">
        <v>187</v>
      </c>
      <c r="B69" s="20">
        <f>B59</f>
        <v>1784</v>
      </c>
      <c r="C69" s="20">
        <f>C49</f>
        <v>1700</v>
      </c>
      <c r="D69" s="20">
        <f>C69-B69</f>
        <v>-84</v>
      </c>
      <c r="E69" s="7">
        <f>E59</f>
        <v>2</v>
      </c>
      <c r="F69" s="7">
        <f>E69*D69</f>
        <v>-168</v>
      </c>
    </row>
    <row r="70" spans="1:6" ht="15">
      <c r="A70" s="2" t="s">
        <v>259</v>
      </c>
      <c r="B70" s="22">
        <f>B60</f>
        <v>1338</v>
      </c>
      <c r="C70" s="22">
        <f>C50</f>
        <v>1275</v>
      </c>
      <c r="D70" s="22">
        <f>C70-B70</f>
        <v>-63</v>
      </c>
      <c r="E70" s="15">
        <f>E60</f>
        <v>1.75</v>
      </c>
      <c r="F70" s="15">
        <f>E70*D70</f>
        <v>-110.25</v>
      </c>
    </row>
    <row r="71" spans="2:6" ht="16.5" thickBot="1">
      <c r="B71" s="20">
        <f>SUM(B68:B70)</f>
        <v>4460</v>
      </c>
      <c r="C71" s="20">
        <f>SUM(C68:C70)</f>
        <v>4250</v>
      </c>
      <c r="D71" s="20"/>
      <c r="F71" s="32">
        <f>SUM(F68:F70)</f>
        <v>-341.25</v>
      </c>
    </row>
    <row r="72" ht="15.75" thickTop="1"/>
    <row r="74" ht="15.75">
      <c r="A74" s="19" t="s">
        <v>284</v>
      </c>
    </row>
    <row r="76" spans="2:3" ht="15">
      <c r="B76" s="3" t="s">
        <v>286</v>
      </c>
      <c r="C76" s="3" t="s">
        <v>287</v>
      </c>
    </row>
    <row r="77" spans="2:4" ht="15">
      <c r="B77" s="28" t="s">
        <v>285</v>
      </c>
      <c r="C77" s="28" t="s">
        <v>285</v>
      </c>
      <c r="D77" s="28" t="s">
        <v>27</v>
      </c>
    </row>
    <row r="78" spans="1:2" ht="15">
      <c r="A78" s="2" t="s">
        <v>186</v>
      </c>
      <c r="B78" s="13">
        <f>B68*D8</f>
        <v>1338</v>
      </c>
    </row>
    <row r="79" spans="1:2" ht="15">
      <c r="A79" s="2" t="s">
        <v>187</v>
      </c>
      <c r="B79" s="13">
        <f>B69*D9</f>
        <v>3568</v>
      </c>
    </row>
    <row r="80" spans="1:4" ht="15">
      <c r="A80" s="2" t="s">
        <v>259</v>
      </c>
      <c r="B80" s="14">
        <f>B70*D10</f>
        <v>2341.5</v>
      </c>
      <c r="C80" s="9"/>
      <c r="D80" s="9"/>
    </row>
    <row r="81" spans="2:4" ht="16.5" thickBot="1">
      <c r="B81" s="13">
        <f>SUM(B78:B80)</f>
        <v>7247.5</v>
      </c>
      <c r="C81" s="13">
        <f>C71*B15</f>
        <v>6906.25</v>
      </c>
      <c r="D81" s="32">
        <f>C81-B81</f>
        <v>-341.25</v>
      </c>
    </row>
    <row r="82" ht="15.75" thickTop="1"/>
  </sheetData>
  <mergeCells count="1">
    <mergeCell ref="B36:D36"/>
  </mergeCells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1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9.140625" style="2" customWidth="1"/>
    <col min="2" max="2" width="13.7109375" style="2" customWidth="1"/>
    <col min="3" max="3" width="14.57421875" style="2" customWidth="1"/>
    <col min="4" max="4" width="11.421875" style="2" customWidth="1"/>
    <col min="5" max="5" width="18.28125" style="2" customWidth="1"/>
    <col min="6" max="16384" width="11.421875" style="2" customWidth="1"/>
  </cols>
  <sheetData>
    <row r="1" ht="20.25">
      <c r="A1" s="1" t="s">
        <v>288</v>
      </c>
    </row>
    <row r="4" ht="15">
      <c r="A4" s="2" t="s">
        <v>291</v>
      </c>
    </row>
    <row r="5" spans="1:2" ht="15">
      <c r="A5" s="2" t="s">
        <v>292</v>
      </c>
      <c r="B5" s="2">
        <f>E16+E21-C16*D16-C21*D21</f>
        <v>246640</v>
      </c>
    </row>
    <row r="6" spans="1:2" ht="15">
      <c r="A6" s="2" t="s">
        <v>293</v>
      </c>
      <c r="B6" s="2">
        <f>E17+E22-C17*D17-C22*D22</f>
        <v>211650</v>
      </c>
    </row>
    <row r="8" ht="15">
      <c r="A8" s="2" t="s">
        <v>294</v>
      </c>
    </row>
    <row r="9" ht="15">
      <c r="A9" s="2" t="s">
        <v>304</v>
      </c>
    </row>
    <row r="10" ht="15">
      <c r="A10" s="2" t="s">
        <v>305</v>
      </c>
    </row>
    <row r="12" ht="15.75">
      <c r="A12" s="19" t="s">
        <v>295</v>
      </c>
    </row>
    <row r="14" spans="1:5" ht="15.75">
      <c r="A14" s="6" t="s">
        <v>296</v>
      </c>
      <c r="B14" s="3" t="s">
        <v>300</v>
      </c>
      <c r="C14" s="3" t="s">
        <v>302</v>
      </c>
      <c r="E14" s="3" t="s">
        <v>307</v>
      </c>
    </row>
    <row r="15" spans="1:5" ht="15">
      <c r="A15" s="4" t="s">
        <v>297</v>
      </c>
      <c r="B15" s="3" t="s">
        <v>301</v>
      </c>
      <c r="C15" s="3" t="s">
        <v>303</v>
      </c>
      <c r="D15" s="3" t="s">
        <v>306</v>
      </c>
      <c r="E15" s="3" t="s">
        <v>308</v>
      </c>
    </row>
    <row r="16" spans="1:5" ht="15">
      <c r="A16" s="4" t="s">
        <v>298</v>
      </c>
      <c r="B16" s="2">
        <v>150</v>
      </c>
      <c r="C16" s="2">
        <v>110</v>
      </c>
      <c r="D16" s="2">
        <v>2800</v>
      </c>
      <c r="E16" s="2">
        <f>D16*B16</f>
        <v>420000</v>
      </c>
    </row>
    <row r="17" spans="1:5" ht="15">
      <c r="A17" s="4" t="s">
        <v>299</v>
      </c>
      <c r="B17" s="2">
        <v>160</v>
      </c>
      <c r="C17" s="2">
        <v>125</v>
      </c>
      <c r="D17" s="2">
        <v>2650</v>
      </c>
      <c r="E17" s="2">
        <f>D17*B17</f>
        <v>424000</v>
      </c>
    </row>
    <row r="19" spans="1:5" ht="15.75">
      <c r="A19" s="6" t="s">
        <v>309</v>
      </c>
      <c r="B19" s="3" t="s">
        <v>300</v>
      </c>
      <c r="C19" s="3" t="s">
        <v>302</v>
      </c>
      <c r="E19" s="3" t="s">
        <v>307</v>
      </c>
    </row>
    <row r="20" spans="1:5" ht="15">
      <c r="A20" s="4" t="s">
        <v>297</v>
      </c>
      <c r="B20" s="3" t="s">
        <v>301</v>
      </c>
      <c r="C20" s="3" t="s">
        <v>303</v>
      </c>
      <c r="D20" s="3" t="s">
        <v>306</v>
      </c>
      <c r="E20" s="3" t="s">
        <v>308</v>
      </c>
    </row>
    <row r="21" spans="1:5" ht="15">
      <c r="A21" s="4" t="s">
        <v>298</v>
      </c>
      <c r="B21" s="2">
        <v>172</v>
      </c>
      <c r="C21" s="2">
        <v>121</v>
      </c>
      <c r="D21" s="2">
        <v>2640</v>
      </c>
      <c r="E21" s="2">
        <f>D21*B21</f>
        <v>454080</v>
      </c>
    </row>
    <row r="22" spans="1:5" ht="15">
      <c r="A22" s="4" t="s">
        <v>299</v>
      </c>
      <c r="B22" s="2">
        <v>176</v>
      </c>
      <c r="C22" s="2">
        <v>135</v>
      </c>
      <c r="D22" s="2">
        <v>2900</v>
      </c>
      <c r="E22" s="2">
        <f>D22*B22</f>
        <v>510400</v>
      </c>
    </row>
    <row r="24" spans="1:4" ht="15">
      <c r="A24" s="2" t="s">
        <v>310</v>
      </c>
      <c r="C24" s="2">
        <f>B5-B6</f>
        <v>34990</v>
      </c>
      <c r="D24" s="2" t="s">
        <v>311</v>
      </c>
    </row>
    <row r="26" ht="15.75">
      <c r="A26" s="19" t="s">
        <v>312</v>
      </c>
    </row>
    <row r="28" ht="15">
      <c r="A28" s="2" t="s">
        <v>313</v>
      </c>
    </row>
    <row r="29" spans="1:2" ht="15">
      <c r="A29" s="4" t="s">
        <v>314</v>
      </c>
      <c r="B29" s="2">
        <f>D17*B17</f>
        <v>424000</v>
      </c>
    </row>
    <row r="30" spans="1:2" ht="15">
      <c r="A30" s="4" t="s">
        <v>315</v>
      </c>
      <c r="B30" s="9">
        <f>D22*B22</f>
        <v>510400</v>
      </c>
    </row>
    <row r="31" ht="15">
      <c r="B31" s="2">
        <f>SUM(B29:B30)</f>
        <v>934400</v>
      </c>
    </row>
    <row r="33" ht="15">
      <c r="A33" s="2" t="s">
        <v>316</v>
      </c>
    </row>
    <row r="34" spans="1:2" ht="15">
      <c r="A34" s="4" t="s">
        <v>314</v>
      </c>
      <c r="B34" s="2">
        <f>D17*B16</f>
        <v>397500</v>
      </c>
    </row>
    <row r="35" spans="1:2" ht="15">
      <c r="A35" s="4" t="s">
        <v>315</v>
      </c>
      <c r="B35" s="9">
        <f>D22*B21</f>
        <v>498800</v>
      </c>
    </row>
    <row r="36" ht="15">
      <c r="B36" s="2">
        <f>SUM(B34:B35)</f>
        <v>896300</v>
      </c>
    </row>
    <row r="37" ht="16.5" thickBot="1">
      <c r="B37" s="38">
        <f>B31-B36</f>
        <v>38100</v>
      </c>
    </row>
    <row r="38" ht="15.75" thickTop="1"/>
    <row r="40" ht="15.75">
      <c r="A40" s="19" t="s">
        <v>317</v>
      </c>
    </row>
    <row r="42" ht="15">
      <c r="A42" s="2" t="s">
        <v>316</v>
      </c>
    </row>
    <row r="43" ht="15">
      <c r="B43" s="2">
        <f>B36</f>
        <v>896300</v>
      </c>
    </row>
    <row r="44" ht="15">
      <c r="A44" s="2" t="s">
        <v>318</v>
      </c>
    </row>
    <row r="45" spans="1:2" ht="15">
      <c r="A45" s="4" t="s">
        <v>314</v>
      </c>
      <c r="B45" s="2">
        <f>E16</f>
        <v>420000</v>
      </c>
    </row>
    <row r="46" spans="1:2" ht="15">
      <c r="A46" s="4" t="s">
        <v>315</v>
      </c>
      <c r="B46" s="9">
        <f>E21</f>
        <v>454080</v>
      </c>
    </row>
    <row r="47" ht="15">
      <c r="B47" s="2">
        <f>SUM(B45:B46)</f>
        <v>874080</v>
      </c>
    </row>
    <row r="48" ht="16.5" thickBot="1">
      <c r="B48" s="38">
        <f>B43-B47</f>
        <v>22220</v>
      </c>
    </row>
    <row r="49" ht="15.75" thickTop="1"/>
    <row r="51" ht="15.75">
      <c r="A51" s="19" t="s">
        <v>319</v>
      </c>
    </row>
    <row r="53" ht="15">
      <c r="A53" s="2" t="s">
        <v>320</v>
      </c>
    </row>
    <row r="54" spans="1:2" ht="15">
      <c r="A54" s="4" t="s">
        <v>314</v>
      </c>
      <c r="B54" s="2">
        <f>C17*D17</f>
        <v>331250</v>
      </c>
    </row>
    <row r="55" spans="1:2" ht="15">
      <c r="A55" s="4" t="s">
        <v>315</v>
      </c>
      <c r="B55" s="9">
        <f>C22*D22</f>
        <v>391500</v>
      </c>
    </row>
    <row r="56" ht="15">
      <c r="B56" s="2">
        <f>SUM(B54:B55)</f>
        <v>722750</v>
      </c>
    </row>
    <row r="58" ht="15">
      <c r="A58" s="2" t="s">
        <v>321</v>
      </c>
    </row>
    <row r="59" spans="1:2" ht="15">
      <c r="A59" s="4" t="s">
        <v>314</v>
      </c>
      <c r="B59" s="2">
        <f>D17*C16</f>
        <v>291500</v>
      </c>
    </row>
    <row r="60" spans="1:2" ht="15">
      <c r="A60" s="4" t="s">
        <v>315</v>
      </c>
      <c r="B60" s="9">
        <f>D22*C21</f>
        <v>350900</v>
      </c>
    </row>
    <row r="61" ht="15">
      <c r="B61" s="2">
        <f>SUM(B59:B60)</f>
        <v>642400</v>
      </c>
    </row>
    <row r="62" ht="16.5" thickBot="1">
      <c r="B62" s="38">
        <f>B61-B56</f>
        <v>-80350</v>
      </c>
    </row>
    <row r="63" ht="15.75" thickTop="1"/>
    <row r="65" ht="15.75">
      <c r="A65" s="19" t="s">
        <v>322</v>
      </c>
    </row>
    <row r="67" ht="15">
      <c r="A67" s="2" t="s">
        <v>321</v>
      </c>
    </row>
    <row r="68" spans="1:2" ht="15">
      <c r="A68" s="4"/>
      <c r="B68" s="2">
        <f>B61</f>
        <v>642400</v>
      </c>
    </row>
    <row r="69" ht="15">
      <c r="A69" s="4"/>
    </row>
    <row r="70" ht="15">
      <c r="A70" s="2" t="s">
        <v>323</v>
      </c>
    </row>
    <row r="71" spans="1:2" ht="15">
      <c r="A71" s="4" t="s">
        <v>314</v>
      </c>
      <c r="B71" s="2">
        <f>D16*C16</f>
        <v>308000</v>
      </c>
    </row>
    <row r="72" spans="1:2" ht="15">
      <c r="A72" s="4" t="s">
        <v>315</v>
      </c>
      <c r="B72" s="9">
        <f>D21*C21</f>
        <v>319440</v>
      </c>
    </row>
    <row r="73" ht="15">
      <c r="B73" s="2">
        <f>SUM(B71:B72)</f>
        <v>627440</v>
      </c>
    </row>
    <row r="74" ht="16.5" thickBot="1">
      <c r="B74" s="38">
        <f>B73-B68</f>
        <v>-14960</v>
      </c>
    </row>
    <row r="75" ht="15.75" thickTop="1"/>
    <row r="77" ht="15">
      <c r="A77" s="2" t="s">
        <v>324</v>
      </c>
    </row>
    <row r="78" ht="16.5" thickBot="1">
      <c r="B78" s="38">
        <f>B48+B74</f>
        <v>7260</v>
      </c>
    </row>
    <row r="79" ht="15.75" thickTop="1"/>
    <row r="80" ht="15">
      <c r="A80" s="2" t="s">
        <v>325</v>
      </c>
    </row>
    <row r="81" ht="15">
      <c r="A81" s="2" t="s">
        <v>326</v>
      </c>
    </row>
    <row r="83" ht="15.75">
      <c r="A83" s="19" t="s">
        <v>327</v>
      </c>
    </row>
    <row r="85" spans="2:5" ht="15">
      <c r="B85" s="3" t="s">
        <v>328</v>
      </c>
      <c r="C85" s="3" t="s">
        <v>328</v>
      </c>
      <c r="E85" s="3" t="s">
        <v>332</v>
      </c>
    </row>
    <row r="86" spans="2:6" ht="15">
      <c r="B86" s="28" t="s">
        <v>329</v>
      </c>
      <c r="C86" s="28" t="s">
        <v>330</v>
      </c>
      <c r="D86" s="28" t="s">
        <v>331</v>
      </c>
      <c r="E86" s="28" t="s">
        <v>333</v>
      </c>
      <c r="F86" s="28" t="s">
        <v>334</v>
      </c>
    </row>
    <row r="87" spans="1:6" ht="15">
      <c r="A87" s="4" t="s">
        <v>314</v>
      </c>
      <c r="B87" s="3">
        <f>D16/(D16+D21)*(D17+D22)</f>
        <v>2856.6176470588234</v>
      </c>
      <c r="C87" s="3">
        <f>D17</f>
        <v>2650</v>
      </c>
      <c r="D87" s="3">
        <f>C87-B87</f>
        <v>-206.61764705882342</v>
      </c>
      <c r="E87" s="3">
        <f>B16-C16</f>
        <v>40</v>
      </c>
      <c r="F87" s="3">
        <f>D87*E87</f>
        <v>-8264.705882352937</v>
      </c>
    </row>
    <row r="88" spans="1:6" ht="15">
      <c r="A88" s="4" t="s">
        <v>315</v>
      </c>
      <c r="B88" s="28">
        <f>D21/(D16+D21)*(D17+D22)</f>
        <v>2693.3823529411766</v>
      </c>
      <c r="C88" s="28">
        <f>D22</f>
        <v>2900</v>
      </c>
      <c r="D88" s="28">
        <f>C88-B88</f>
        <v>206.61764705882342</v>
      </c>
      <c r="E88" s="28">
        <f>B21-C21</f>
        <v>51</v>
      </c>
      <c r="F88" s="28">
        <f>D88*E88</f>
        <v>10537.499999999995</v>
      </c>
    </row>
    <row r="89" spans="2:6" ht="16.5" thickBot="1">
      <c r="B89" s="3">
        <f>SUM(B87:B88)</f>
        <v>5550</v>
      </c>
      <c r="C89" s="3">
        <f>SUM(C87:C88)</f>
        <v>5550</v>
      </c>
      <c r="F89" s="39">
        <f>SUM(F87:F88)</f>
        <v>2272.7941176470576</v>
      </c>
    </row>
    <row r="90" ht="15.75" thickTop="1"/>
    <row r="92" ht="15.75">
      <c r="A92" s="19" t="s">
        <v>335</v>
      </c>
    </row>
    <row r="94" spans="2:5" ht="15">
      <c r="B94" s="3" t="s">
        <v>328</v>
      </c>
      <c r="C94" s="3" t="s">
        <v>336</v>
      </c>
      <c r="E94" s="3" t="s">
        <v>332</v>
      </c>
    </row>
    <row r="95" spans="2:6" ht="15">
      <c r="B95" s="28" t="s">
        <v>329</v>
      </c>
      <c r="C95" s="28" t="s">
        <v>329</v>
      </c>
      <c r="D95" s="28" t="s">
        <v>331</v>
      </c>
      <c r="E95" s="28" t="s">
        <v>333</v>
      </c>
      <c r="F95" s="28" t="s">
        <v>334</v>
      </c>
    </row>
    <row r="96" spans="1:6" ht="15">
      <c r="A96" s="4" t="s">
        <v>314</v>
      </c>
      <c r="B96" s="3">
        <f>B87</f>
        <v>2856.6176470588234</v>
      </c>
      <c r="C96" s="3">
        <f>D16</f>
        <v>2800</v>
      </c>
      <c r="D96" s="3">
        <f>B96-C96</f>
        <v>56.61764705882342</v>
      </c>
      <c r="E96" s="3">
        <f>E87</f>
        <v>40</v>
      </c>
      <c r="F96" s="3">
        <f>D96*E96</f>
        <v>2264.705882352937</v>
      </c>
    </row>
    <row r="97" spans="1:6" ht="15">
      <c r="A97" s="4" t="s">
        <v>315</v>
      </c>
      <c r="B97" s="28">
        <f>B88</f>
        <v>2693.3823529411766</v>
      </c>
      <c r="C97" s="28">
        <f>D21</f>
        <v>2640</v>
      </c>
      <c r="D97" s="28">
        <f>B97-C97</f>
        <v>53.38235294117658</v>
      </c>
      <c r="E97" s="28">
        <f>E88</f>
        <v>51</v>
      </c>
      <c r="F97" s="28">
        <f>D97*E97</f>
        <v>2722.5000000000055</v>
      </c>
    </row>
    <row r="98" spans="2:6" ht="16.5" thickBot="1">
      <c r="B98" s="3">
        <f>SUM(B96:B97)</f>
        <v>5550</v>
      </c>
      <c r="C98" s="3">
        <f>SUM(C96:C97)</f>
        <v>5440</v>
      </c>
      <c r="F98" s="39">
        <f>SUM(F96:F97)</f>
        <v>4987.205882352942</v>
      </c>
    </row>
    <row r="99" ht="15.75" thickTop="1"/>
    <row r="101" ht="15">
      <c r="A101" s="2" t="s">
        <v>337</v>
      </c>
    </row>
    <row r="102" ht="16.5" thickBot="1">
      <c r="B102" s="38">
        <f>F89+F98</f>
        <v>7260</v>
      </c>
    </row>
    <row r="103" ht="15.75" thickTop="1"/>
    <row r="105" ht="15.75">
      <c r="A105" s="19" t="s">
        <v>338</v>
      </c>
    </row>
    <row r="107" spans="3:4" ht="15">
      <c r="C107" s="9" t="s">
        <v>339</v>
      </c>
      <c r="D107" s="9" t="s">
        <v>340</v>
      </c>
    </row>
    <row r="108" spans="1:3" ht="15">
      <c r="A108" s="2" t="s">
        <v>341</v>
      </c>
      <c r="C108" s="2">
        <f>B37</f>
        <v>38100</v>
      </c>
    </row>
    <row r="109" spans="1:4" ht="15">
      <c r="A109" s="2" t="s">
        <v>342</v>
      </c>
      <c r="D109" s="2">
        <f>B62</f>
        <v>-80350</v>
      </c>
    </row>
    <row r="110" spans="1:3" ht="15">
      <c r="A110" s="2" t="s">
        <v>343</v>
      </c>
      <c r="C110" s="2">
        <f>F98</f>
        <v>4987.205882352942</v>
      </c>
    </row>
    <row r="111" spans="1:4" ht="15">
      <c r="A111" s="2" t="s">
        <v>344</v>
      </c>
      <c r="C111" s="9">
        <f>F89</f>
        <v>2272.7941176470576</v>
      </c>
      <c r="D111" s="9"/>
    </row>
    <row r="112" spans="3:4" ht="15">
      <c r="C112" s="2">
        <f>SUM(C108:C111)</f>
        <v>45360</v>
      </c>
      <c r="D112" s="2">
        <f>SUM(D108:D111)</f>
        <v>-80350</v>
      </c>
    </row>
    <row r="113" spans="1:2" ht="16.5" thickBot="1">
      <c r="A113" s="38" t="s">
        <v>345</v>
      </c>
      <c r="B113" s="38">
        <f>C112+D112</f>
        <v>-34990</v>
      </c>
    </row>
    <row r="114" ht="15.75" thickTop="1"/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6.140625" style="2" customWidth="1"/>
    <col min="2" max="2" width="19.140625" style="2" bestFit="1" customWidth="1"/>
    <col min="3" max="3" width="21.140625" style="2" bestFit="1" customWidth="1"/>
    <col min="4" max="16384" width="11.421875" style="2" customWidth="1"/>
  </cols>
  <sheetData>
    <row r="1" ht="20.25">
      <c r="A1" s="1" t="s">
        <v>8</v>
      </c>
    </row>
    <row r="2" ht="15"/>
    <row r="3" ht="15"/>
    <row r="4" spans="1:4" ht="15">
      <c r="A4" s="3" t="s">
        <v>1</v>
      </c>
      <c r="B4" s="3" t="s">
        <v>2</v>
      </c>
      <c r="C4" s="3" t="s">
        <v>3</v>
      </c>
      <c r="D4" s="3" t="s">
        <v>7</v>
      </c>
    </row>
    <row r="5" spans="1:5" ht="15">
      <c r="A5" s="4">
        <v>12</v>
      </c>
      <c r="B5" s="3">
        <v>65</v>
      </c>
      <c r="C5" s="3">
        <v>2109</v>
      </c>
      <c r="D5" s="2">
        <f aca="true" t="shared" si="0" ref="D5:D16">x*k+d</f>
        <v>2134.190476190476</v>
      </c>
      <c r="E5" s="3"/>
    </row>
    <row r="6" spans="1:5" ht="15">
      <c r="A6" s="4">
        <v>7</v>
      </c>
      <c r="B6" s="3">
        <v>77</v>
      </c>
      <c r="C6" s="3">
        <v>2480</v>
      </c>
      <c r="D6" s="2">
        <f t="shared" si="0"/>
        <v>2295.114285714286</v>
      </c>
      <c r="E6" s="3"/>
    </row>
    <row r="7" spans="1:5" ht="15">
      <c r="A7" s="4">
        <v>1</v>
      </c>
      <c r="B7" s="3">
        <v>82</v>
      </c>
      <c r="C7" s="3">
        <v>2510</v>
      </c>
      <c r="D7" s="2">
        <f t="shared" si="0"/>
        <v>2362.1658730158733</v>
      </c>
      <c r="E7" s="3"/>
    </row>
    <row r="8" spans="1:5" ht="15">
      <c r="A8" s="4">
        <v>3</v>
      </c>
      <c r="B8" s="3">
        <v>88</v>
      </c>
      <c r="C8" s="3">
        <v>2080</v>
      </c>
      <c r="D8" s="2">
        <f t="shared" si="0"/>
        <v>2442.6277777777777</v>
      </c>
      <c r="E8" s="3"/>
    </row>
    <row r="9" spans="1:5" ht="15">
      <c r="A9" s="4">
        <v>5</v>
      </c>
      <c r="B9" s="3">
        <v>93</v>
      </c>
      <c r="C9" s="3">
        <v>2330</v>
      </c>
      <c r="D9" s="2">
        <f t="shared" si="0"/>
        <v>2509.679365079365</v>
      </c>
      <c r="E9" s="3"/>
    </row>
    <row r="10" spans="1:5" ht="15">
      <c r="A10" s="4">
        <v>4</v>
      </c>
      <c r="B10" s="3">
        <v>99</v>
      </c>
      <c r="C10" s="3">
        <v>2750</v>
      </c>
      <c r="D10" s="2">
        <f t="shared" si="0"/>
        <v>2590.14126984127</v>
      </c>
      <c r="E10" s="3"/>
    </row>
    <row r="11" spans="1:5" ht="15">
      <c r="A11" s="4">
        <v>2</v>
      </c>
      <c r="B11" s="3">
        <v>101</v>
      </c>
      <c r="C11" s="3">
        <v>2479</v>
      </c>
      <c r="D11" s="2">
        <f t="shared" si="0"/>
        <v>2616.961904761905</v>
      </c>
      <c r="E11" s="3"/>
    </row>
    <row r="12" spans="1:5" ht="15">
      <c r="A12" s="4">
        <v>11</v>
      </c>
      <c r="B12" s="3">
        <v>101</v>
      </c>
      <c r="C12" s="3">
        <v>2760</v>
      </c>
      <c r="D12" s="2">
        <f t="shared" si="0"/>
        <v>2616.961904761905</v>
      </c>
      <c r="E12" s="3"/>
    </row>
    <row r="13" spans="1:5" ht="15">
      <c r="A13" s="4">
        <v>8</v>
      </c>
      <c r="B13" s="3">
        <v>102</v>
      </c>
      <c r="C13" s="3">
        <v>2610</v>
      </c>
      <c r="D13" s="2">
        <f t="shared" si="0"/>
        <v>2630.3722222222223</v>
      </c>
      <c r="E13" s="3"/>
    </row>
    <row r="14" spans="1:5" ht="15">
      <c r="A14" s="4">
        <v>6</v>
      </c>
      <c r="B14" s="3">
        <v>103</v>
      </c>
      <c r="C14" s="3">
        <v>2690</v>
      </c>
      <c r="D14" s="2">
        <f t="shared" si="0"/>
        <v>2643.78253968254</v>
      </c>
      <c r="E14" s="3"/>
    </row>
    <row r="15" spans="1:5" ht="15">
      <c r="A15" s="4">
        <v>10</v>
      </c>
      <c r="B15" s="3">
        <v>107</v>
      </c>
      <c r="C15" s="3">
        <v>2730</v>
      </c>
      <c r="D15" s="2">
        <f t="shared" si="0"/>
        <v>2697.4238095238097</v>
      </c>
      <c r="E15" s="3"/>
    </row>
    <row r="16" spans="1:5" ht="15">
      <c r="A16" s="4">
        <v>9</v>
      </c>
      <c r="B16" s="3">
        <v>122</v>
      </c>
      <c r="C16" s="3">
        <v>2910</v>
      </c>
      <c r="D16" s="2">
        <f t="shared" si="0"/>
        <v>2898.578571428571</v>
      </c>
      <c r="E16" s="3"/>
    </row>
    <row r="18" spans="1:4" ht="18.75">
      <c r="A18" s="6" t="s">
        <v>4</v>
      </c>
      <c r="B18" s="8">
        <f>SLOPE(y,x)</f>
        <v>13.41031746031746</v>
      </c>
      <c r="C18" s="6" t="s">
        <v>11</v>
      </c>
      <c r="D18" s="8">
        <f>CORREL(y,D5:D16)^2</f>
        <v>0.6104080064301503</v>
      </c>
    </row>
    <row r="19" spans="1:2" ht="15.75">
      <c r="A19" s="6" t="s">
        <v>5</v>
      </c>
      <c r="B19" s="8">
        <f>INTERCEPT(y,x)</f>
        <v>1262.5198412698414</v>
      </c>
    </row>
    <row r="20" spans="1:4" ht="15.75">
      <c r="A20" s="6"/>
      <c r="B20" s="8"/>
      <c r="C20" s="6" t="s">
        <v>12</v>
      </c>
      <c r="D20" s="2">
        <v>95</v>
      </c>
    </row>
    <row r="21" spans="1:4" ht="15.75">
      <c r="A21" s="6"/>
      <c r="B21" s="8"/>
      <c r="C21" s="6" t="s">
        <v>14</v>
      </c>
      <c r="D21" s="2">
        <f>k*D20+d</f>
        <v>2536.5</v>
      </c>
    </row>
  </sheetData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8.28125" style="2" customWidth="1"/>
    <col min="2" max="3" width="11.421875" style="2" customWidth="1"/>
    <col min="4" max="5" width="15.00390625" style="2" bestFit="1" customWidth="1"/>
    <col min="6" max="16384" width="11.421875" style="2" customWidth="1"/>
  </cols>
  <sheetData>
    <row r="1" ht="20.25">
      <c r="A1" s="1" t="s">
        <v>15</v>
      </c>
    </row>
    <row r="4" spans="1:2" ht="15">
      <c r="A4" s="2" t="s">
        <v>16</v>
      </c>
      <c r="B4" s="2">
        <v>6000</v>
      </c>
    </row>
    <row r="5" spans="1:2" ht="15">
      <c r="A5" s="2" t="s">
        <v>17</v>
      </c>
      <c r="B5" s="2">
        <v>5800</v>
      </c>
    </row>
    <row r="7" spans="1:2" ht="15">
      <c r="A7" s="2" t="s">
        <v>18</v>
      </c>
      <c r="B7" s="2">
        <v>39000</v>
      </c>
    </row>
    <row r="8" ht="15">
      <c r="A8" s="2" t="s">
        <v>19</v>
      </c>
    </row>
    <row r="9" spans="1:2" ht="15">
      <c r="A9" s="2" t="s">
        <v>20</v>
      </c>
      <c r="B9" s="2">
        <v>6000</v>
      </c>
    </row>
    <row r="10" spans="1:2" ht="15">
      <c r="A10" s="2" t="s">
        <v>21</v>
      </c>
      <c r="B10" s="2">
        <v>900</v>
      </c>
    </row>
    <row r="11" spans="1:2" ht="15">
      <c r="A11" s="9" t="s">
        <v>22</v>
      </c>
      <c r="B11" s="9">
        <v>300</v>
      </c>
    </row>
    <row r="12" spans="1:2" ht="16.5" thickBot="1">
      <c r="A12" s="10" t="s">
        <v>13</v>
      </c>
      <c r="B12" s="10">
        <f>SUM(B7:B11)</f>
        <v>46200</v>
      </c>
    </row>
    <row r="13" ht="15.75" thickTop="1"/>
    <row r="15" ht="20.25">
      <c r="A15" s="1" t="s">
        <v>23</v>
      </c>
    </row>
    <row r="17" spans="2:4" ht="15.75">
      <c r="B17" s="11" t="s">
        <v>25</v>
      </c>
      <c r="C17" s="11" t="s">
        <v>26</v>
      </c>
      <c r="D17" s="11" t="s">
        <v>27</v>
      </c>
    </row>
    <row r="18" spans="1:4" ht="15">
      <c r="A18" s="9" t="s">
        <v>24</v>
      </c>
      <c r="B18" s="9">
        <f>B4</f>
        <v>6000</v>
      </c>
      <c r="C18" s="9">
        <f>B5</f>
        <v>5800</v>
      </c>
      <c r="D18" s="9">
        <f>C18-B18</f>
        <v>-200</v>
      </c>
    </row>
    <row r="19" spans="1:4" ht="15">
      <c r="A19" s="2" t="s">
        <v>18</v>
      </c>
      <c r="B19" s="2">
        <f>B7</f>
        <v>39000</v>
      </c>
      <c r="C19" s="2">
        <v>38500</v>
      </c>
      <c r="D19" s="2">
        <f>B19-C19</f>
        <v>500</v>
      </c>
    </row>
    <row r="20" ht="15">
      <c r="A20" s="2" t="s">
        <v>19</v>
      </c>
    </row>
    <row r="21" spans="1:4" ht="15">
      <c r="A21" s="2" t="s">
        <v>20</v>
      </c>
      <c r="B21" s="2">
        <f>B9</f>
        <v>6000</v>
      </c>
      <c r="C21" s="2">
        <v>5950</v>
      </c>
      <c r="D21" s="2">
        <f>B21-C21</f>
        <v>50</v>
      </c>
    </row>
    <row r="22" spans="1:4" ht="15">
      <c r="A22" s="2" t="s">
        <v>21</v>
      </c>
      <c r="B22" s="2">
        <f>B10</f>
        <v>900</v>
      </c>
      <c r="C22" s="2">
        <v>870</v>
      </c>
      <c r="D22" s="2">
        <f>B22-C22</f>
        <v>30</v>
      </c>
    </row>
    <row r="23" spans="1:4" ht="15">
      <c r="A23" s="9" t="s">
        <v>22</v>
      </c>
      <c r="B23" s="9">
        <f>B11</f>
        <v>300</v>
      </c>
      <c r="C23" s="9">
        <v>295</v>
      </c>
      <c r="D23" s="9">
        <f>B23-C23</f>
        <v>5</v>
      </c>
    </row>
    <row r="24" spans="1:4" ht="16.5" thickBot="1">
      <c r="A24" s="10" t="s">
        <v>13</v>
      </c>
      <c r="B24" s="10">
        <f>SUM(B19:B23)</f>
        <v>46200</v>
      </c>
      <c r="C24" s="10">
        <f>SUM(C19:C23)</f>
        <v>45615</v>
      </c>
      <c r="D24" s="10">
        <f>SUM(D19:D23)</f>
        <v>585</v>
      </c>
    </row>
    <row r="25" ht="15.75" thickTop="1"/>
    <row r="27" ht="20.25">
      <c r="A27" s="1" t="s">
        <v>28</v>
      </c>
    </row>
    <row r="29" spans="2:5" ht="15.75">
      <c r="B29" s="11" t="s">
        <v>29</v>
      </c>
      <c r="C29" s="11" t="s">
        <v>25</v>
      </c>
      <c r="D29" s="11" t="s">
        <v>26</v>
      </c>
      <c r="E29" s="11" t="s">
        <v>27</v>
      </c>
    </row>
    <row r="30" spans="1:5" ht="15.75">
      <c r="A30" s="9"/>
      <c r="B30" s="12" t="s">
        <v>30</v>
      </c>
      <c r="C30" s="12">
        <f>C18</f>
        <v>5800</v>
      </c>
      <c r="D30" s="12">
        <f>C30</f>
        <v>5800</v>
      </c>
      <c r="E30" s="9"/>
    </row>
    <row r="31" spans="1:5" ht="15">
      <c r="A31" s="2" t="s">
        <v>18</v>
      </c>
      <c r="B31" s="13">
        <f>B19/B18</f>
        <v>6.5</v>
      </c>
      <c r="C31" s="2">
        <f>B31*C30</f>
        <v>37700</v>
      </c>
      <c r="D31" s="2">
        <v>38500</v>
      </c>
      <c r="E31" s="2">
        <f>C31-D31</f>
        <v>-800</v>
      </c>
    </row>
    <row r="32" ht="15">
      <c r="A32" s="2" t="s">
        <v>19</v>
      </c>
    </row>
    <row r="33" spans="1:5" ht="15">
      <c r="A33" s="2" t="s">
        <v>20</v>
      </c>
      <c r="B33" s="13">
        <f>B21/B18</f>
        <v>1</v>
      </c>
      <c r="C33" s="2">
        <f>B33*C30</f>
        <v>5800</v>
      </c>
      <c r="D33" s="2">
        <v>5950</v>
      </c>
      <c r="E33" s="2">
        <f>C33-D33</f>
        <v>-150</v>
      </c>
    </row>
    <row r="34" spans="1:5" ht="15">
      <c r="A34" s="2" t="s">
        <v>21</v>
      </c>
      <c r="B34" s="13">
        <f>B22/B18</f>
        <v>0.15</v>
      </c>
      <c r="C34" s="2">
        <f>B34*C30</f>
        <v>870</v>
      </c>
      <c r="D34" s="2">
        <v>870</v>
      </c>
      <c r="E34" s="2">
        <f>C34-D34</f>
        <v>0</v>
      </c>
    </row>
    <row r="35" spans="1:5" ht="15">
      <c r="A35" s="9" t="s">
        <v>22</v>
      </c>
      <c r="B35" s="14">
        <f>B23/B18</f>
        <v>0.05</v>
      </c>
      <c r="C35" s="9">
        <f>B35*C30</f>
        <v>290</v>
      </c>
      <c r="D35" s="9">
        <v>295</v>
      </c>
      <c r="E35" s="9">
        <f>C35-D35</f>
        <v>-5</v>
      </c>
    </row>
    <row r="36" spans="1:5" ht="16.5" thickBot="1">
      <c r="A36" s="10" t="s">
        <v>13</v>
      </c>
      <c r="B36" s="10"/>
      <c r="C36" s="10">
        <f>SUM(C31:C35)</f>
        <v>44660</v>
      </c>
      <c r="D36" s="10">
        <f>SUM(D31:D35)</f>
        <v>45615</v>
      </c>
      <c r="E36" s="10">
        <f>SUM(E31:E35)</f>
        <v>-955</v>
      </c>
    </row>
    <row r="37" ht="15.75" thickTop="1"/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1.421875" style="2" customWidth="1"/>
    <col min="2" max="2" width="13.00390625" style="2" bestFit="1" customWidth="1"/>
    <col min="3" max="3" width="16.28125" style="2" bestFit="1" customWidth="1"/>
    <col min="4" max="4" width="14.140625" style="2" bestFit="1" customWidth="1"/>
    <col min="5" max="16384" width="11.421875" style="2" customWidth="1"/>
  </cols>
  <sheetData>
    <row r="1" ht="20.25">
      <c r="A1" s="1" t="s">
        <v>31</v>
      </c>
    </row>
    <row r="4" ht="15">
      <c r="A4" s="2" t="s">
        <v>32</v>
      </c>
    </row>
    <row r="6" spans="2:4" ht="15.75">
      <c r="B6" s="11" t="s">
        <v>34</v>
      </c>
      <c r="C6" s="11" t="s">
        <v>35</v>
      </c>
      <c r="D6" s="11" t="s">
        <v>37</v>
      </c>
    </row>
    <row r="7" spans="1:4" ht="15">
      <c r="A7" s="2" t="s">
        <v>33</v>
      </c>
      <c r="B7" s="7">
        <v>6</v>
      </c>
      <c r="C7" s="2">
        <v>10000</v>
      </c>
      <c r="D7" s="2">
        <f>B7*C7</f>
        <v>60000</v>
      </c>
    </row>
    <row r="8" spans="1:4" ht="15">
      <c r="A8" s="9" t="s">
        <v>36</v>
      </c>
      <c r="B8" s="15">
        <v>8</v>
      </c>
      <c r="C8" s="9">
        <v>30000</v>
      </c>
      <c r="D8" s="9">
        <f>B8*C8</f>
        <v>240000</v>
      </c>
    </row>
    <row r="9" spans="1:4" ht="15.75">
      <c r="A9" s="5" t="s">
        <v>38</v>
      </c>
      <c r="D9" s="5">
        <f>SUM(D7:D8)</f>
        <v>300000</v>
      </c>
    </row>
    <row r="11" ht="15">
      <c r="A11" s="2" t="s">
        <v>39</v>
      </c>
    </row>
    <row r="13" spans="2:4" ht="15.75">
      <c r="B13" s="11" t="s">
        <v>34</v>
      </c>
      <c r="C13" s="11" t="s">
        <v>35</v>
      </c>
      <c r="D13" s="11" t="s">
        <v>37</v>
      </c>
    </row>
    <row r="14" spans="1:4" ht="15">
      <c r="A14" s="2" t="s">
        <v>33</v>
      </c>
      <c r="B14" s="7">
        <v>6.2</v>
      </c>
      <c r="C14" s="2">
        <v>8000</v>
      </c>
      <c r="D14" s="2">
        <f>B14*C14</f>
        <v>49600</v>
      </c>
    </row>
    <row r="15" spans="1:4" ht="15">
      <c r="A15" s="9" t="s">
        <v>36</v>
      </c>
      <c r="B15" s="15">
        <v>7.7</v>
      </c>
      <c r="C15" s="9">
        <v>33000</v>
      </c>
      <c r="D15" s="9">
        <f>B15*C15</f>
        <v>254100</v>
      </c>
    </row>
    <row r="16" spans="1:4" ht="15.75">
      <c r="A16" s="5" t="s">
        <v>38</v>
      </c>
      <c r="D16" s="5">
        <f>SUM(D14:D15)</f>
        <v>303700</v>
      </c>
    </row>
    <row r="18" spans="1:4" ht="15.75">
      <c r="A18" s="5" t="s">
        <v>40</v>
      </c>
      <c r="D18" s="5">
        <f>D16-D9</f>
        <v>3700</v>
      </c>
    </row>
    <row r="19" ht="15">
      <c r="A19" s="16" t="str">
        <f>IF(D18&gt;0,"... ist positiv!","... ist negativ!!")</f>
        <v>... ist positiv!</v>
      </c>
    </row>
    <row r="21" spans="1:3" ht="15.75">
      <c r="A21" s="5" t="s">
        <v>41</v>
      </c>
      <c r="C21" s="5" t="s">
        <v>42</v>
      </c>
    </row>
    <row r="22" spans="1:4" ht="15">
      <c r="A22" s="2" t="s">
        <v>33</v>
      </c>
      <c r="B22" s="7">
        <f>B14-B7</f>
        <v>0.20000000000000018</v>
      </c>
      <c r="C22" s="2">
        <f>C14</f>
        <v>8000</v>
      </c>
      <c r="D22" s="2">
        <f>B22*C22</f>
        <v>1600.0000000000014</v>
      </c>
    </row>
    <row r="23" spans="1:4" ht="15">
      <c r="A23" s="9" t="s">
        <v>36</v>
      </c>
      <c r="B23" s="15">
        <f>B15-B8</f>
        <v>-0.2999999999999998</v>
      </c>
      <c r="C23" s="9">
        <f>C15</f>
        <v>33000</v>
      </c>
      <c r="D23" s="9">
        <f>B23*C23</f>
        <v>-9899.999999999995</v>
      </c>
    </row>
    <row r="24" spans="1:4" ht="15.75">
      <c r="A24" s="5" t="s">
        <v>43</v>
      </c>
      <c r="D24" s="5">
        <f>SUM(D22:D23)</f>
        <v>-8299.999999999993</v>
      </c>
    </row>
    <row r="26" spans="1:3" ht="15.75">
      <c r="A26" s="5" t="s">
        <v>44</v>
      </c>
      <c r="C26" s="5" t="s">
        <v>45</v>
      </c>
    </row>
    <row r="27" spans="1:4" ht="15">
      <c r="A27" s="2" t="s">
        <v>33</v>
      </c>
      <c r="B27" s="7">
        <f>B7</f>
        <v>6</v>
      </c>
      <c r="C27" s="2">
        <f>C22-C7</f>
        <v>-2000</v>
      </c>
      <c r="D27" s="2">
        <f>B27*C27</f>
        <v>-12000</v>
      </c>
    </row>
    <row r="28" spans="1:4" ht="15">
      <c r="A28" s="9" t="s">
        <v>36</v>
      </c>
      <c r="B28" s="15">
        <f>B8</f>
        <v>8</v>
      </c>
      <c r="C28" s="9">
        <f>C23-C8</f>
        <v>3000</v>
      </c>
      <c r="D28" s="9">
        <f>B28*C28</f>
        <v>24000</v>
      </c>
    </row>
    <row r="29" spans="1:4" ht="15.75">
      <c r="A29" s="5" t="s">
        <v>46</v>
      </c>
      <c r="D29" s="5">
        <f>SUM(D27:D28)</f>
        <v>12000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8.28125" style="2" customWidth="1"/>
    <col min="2" max="16384" width="11.421875" style="2" customWidth="1"/>
  </cols>
  <sheetData>
    <row r="1" ht="20.25">
      <c r="A1" s="1" t="s">
        <v>47</v>
      </c>
    </row>
    <row r="4" spans="1:2" ht="15">
      <c r="A4" s="2" t="s">
        <v>51</v>
      </c>
      <c r="B4" s="7">
        <f>B5*B6</f>
        <v>15</v>
      </c>
    </row>
    <row r="5" spans="1:2" ht="15">
      <c r="A5" s="2" t="s">
        <v>48</v>
      </c>
      <c r="B5" s="7">
        <v>3</v>
      </c>
    </row>
    <row r="6" spans="1:2" ht="15">
      <c r="A6" s="2" t="s">
        <v>49</v>
      </c>
      <c r="B6" s="7">
        <v>5</v>
      </c>
    </row>
    <row r="8" spans="1:2" ht="15">
      <c r="A8" s="2" t="s">
        <v>50</v>
      </c>
      <c r="B8" s="7">
        <f>B9*B10</f>
        <v>14</v>
      </c>
    </row>
    <row r="9" spans="1:2" ht="15">
      <c r="A9" s="2" t="s">
        <v>48</v>
      </c>
      <c r="B9" s="7">
        <v>2</v>
      </c>
    </row>
    <row r="10" spans="1:2" ht="15">
      <c r="A10" s="2" t="s">
        <v>49</v>
      </c>
      <c r="B10" s="7">
        <v>7</v>
      </c>
    </row>
    <row r="12" spans="1:2" ht="15">
      <c r="A12" s="2" t="s">
        <v>52</v>
      </c>
      <c r="B12" s="2">
        <v>8000</v>
      </c>
    </row>
    <row r="14" spans="1:2" ht="15.75">
      <c r="A14" s="5" t="s">
        <v>53</v>
      </c>
      <c r="B14" s="5" t="s">
        <v>54</v>
      </c>
    </row>
    <row r="15" spans="1:2" ht="15">
      <c r="A15" s="2" t="s">
        <v>55</v>
      </c>
      <c r="B15" s="2">
        <f>B5*B6*B12</f>
        <v>120000</v>
      </c>
    </row>
    <row r="16" spans="1:2" ht="15">
      <c r="A16" s="9" t="s">
        <v>56</v>
      </c>
      <c r="B16" s="9">
        <f>B9*B10*B12</f>
        <v>112000</v>
      </c>
    </row>
    <row r="17" spans="1:2" ht="15.75">
      <c r="A17" s="5" t="s">
        <v>53</v>
      </c>
      <c r="B17" s="5">
        <f>B15-B16</f>
        <v>8000</v>
      </c>
    </row>
    <row r="19" spans="1:2" ht="15.75">
      <c r="A19" s="5" t="s">
        <v>41</v>
      </c>
      <c r="B19" s="5" t="s">
        <v>57</v>
      </c>
    </row>
    <row r="20" spans="1:2" ht="15">
      <c r="A20" s="2" t="s">
        <v>41</v>
      </c>
      <c r="B20" s="2">
        <f>(B6-B10)*B9*B12</f>
        <v>-32000</v>
      </c>
    </row>
    <row r="22" spans="1:2" ht="15.75">
      <c r="A22" s="5" t="s">
        <v>44</v>
      </c>
      <c r="B22" s="5" t="s">
        <v>58</v>
      </c>
    </row>
    <row r="23" spans="1:2" ht="15">
      <c r="A23" s="2" t="s">
        <v>44</v>
      </c>
      <c r="B23" s="2">
        <f>(B5*B12-B9*B12)*B6</f>
        <v>40000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4.28125" style="2" customWidth="1"/>
    <col min="2" max="16384" width="11.421875" style="2" customWidth="1"/>
  </cols>
  <sheetData>
    <row r="1" ht="20.25">
      <c r="A1" s="1" t="s">
        <v>47</v>
      </c>
    </row>
    <row r="4" spans="1:2" ht="15">
      <c r="A4" s="2" t="s">
        <v>59</v>
      </c>
      <c r="B4" s="2">
        <v>20000</v>
      </c>
    </row>
    <row r="5" spans="1:2" ht="15">
      <c r="A5" s="2" t="s">
        <v>60</v>
      </c>
      <c r="B5" s="2">
        <v>15000</v>
      </c>
    </row>
    <row r="6" spans="1:2" ht="15">
      <c r="A6" s="2" t="s">
        <v>61</v>
      </c>
      <c r="B6" s="7">
        <v>1</v>
      </c>
    </row>
    <row r="7" spans="1:2" ht="15">
      <c r="A7" s="2" t="s">
        <v>62</v>
      </c>
      <c r="B7" s="7">
        <v>2.5</v>
      </c>
    </row>
    <row r="8" spans="1:2" ht="15">
      <c r="A8" s="2" t="s">
        <v>63</v>
      </c>
      <c r="B8" s="7">
        <v>3</v>
      </c>
    </row>
    <row r="9" spans="1:2" ht="15">
      <c r="A9" s="2" t="s">
        <v>64</v>
      </c>
      <c r="B9" s="2">
        <v>10000</v>
      </c>
    </row>
    <row r="11" spans="1:2" ht="15.75">
      <c r="A11" s="5" t="s">
        <v>41</v>
      </c>
      <c r="B11" s="5" t="s">
        <v>57</v>
      </c>
    </row>
    <row r="12" spans="1:2" ht="15">
      <c r="A12" s="2" t="s">
        <v>41</v>
      </c>
      <c r="B12" s="2">
        <f>(B7-B8)*B4</f>
        <v>-10000</v>
      </c>
    </row>
    <row r="14" spans="1:2" ht="15.75">
      <c r="A14" s="5" t="s">
        <v>44</v>
      </c>
      <c r="B14" s="5" t="s">
        <v>58</v>
      </c>
    </row>
    <row r="15" spans="1:2" ht="15">
      <c r="A15" s="2" t="s">
        <v>44</v>
      </c>
      <c r="B15" s="2">
        <f>(B4-B5)*B7</f>
        <v>12500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50.57421875" style="2" customWidth="1"/>
    <col min="2" max="16384" width="11.421875" style="2" customWidth="1"/>
  </cols>
  <sheetData>
    <row r="1" ht="20.25">
      <c r="A1" s="1" t="s">
        <v>65</v>
      </c>
    </row>
    <row r="4" spans="1:2" ht="15">
      <c r="A4" s="2" t="s">
        <v>77</v>
      </c>
      <c r="B4" s="7">
        <v>3</v>
      </c>
    </row>
    <row r="5" spans="1:2" ht="15">
      <c r="A5" s="2" t="s">
        <v>66</v>
      </c>
      <c r="B5" s="7">
        <v>4</v>
      </c>
    </row>
    <row r="6" spans="1:2" ht="15">
      <c r="A6" s="2" t="s">
        <v>67</v>
      </c>
      <c r="B6" s="2">
        <v>13000</v>
      </c>
    </row>
    <row r="7" spans="1:2" ht="15">
      <c r="A7" s="2" t="s">
        <v>68</v>
      </c>
      <c r="B7" s="2">
        <v>2500</v>
      </c>
    </row>
    <row r="8" spans="1:2" ht="15">
      <c r="A8" s="2" t="s">
        <v>69</v>
      </c>
      <c r="B8" s="2">
        <v>1000</v>
      </c>
    </row>
    <row r="10" spans="1:2" ht="15.75">
      <c r="A10" s="5" t="s">
        <v>70</v>
      </c>
      <c r="B10" s="5" t="s">
        <v>71</v>
      </c>
    </row>
    <row r="11" spans="1:2" ht="15">
      <c r="A11" s="2" t="s">
        <v>67</v>
      </c>
      <c r="B11" s="2">
        <f>B6</f>
        <v>13000</v>
      </c>
    </row>
    <row r="12" spans="1:2" ht="15">
      <c r="A12" s="9" t="s">
        <v>72</v>
      </c>
      <c r="B12" s="9">
        <f>B7*B5</f>
        <v>10000</v>
      </c>
    </row>
    <row r="13" spans="1:2" ht="15.75">
      <c r="A13" s="5" t="s">
        <v>70</v>
      </c>
      <c r="B13" s="5">
        <f>B12-B11</f>
        <v>-3000</v>
      </c>
    </row>
    <row r="15" spans="1:2" ht="15.75">
      <c r="A15" s="5" t="s">
        <v>73</v>
      </c>
      <c r="B15" s="5" t="s">
        <v>74</v>
      </c>
    </row>
    <row r="16" spans="1:2" ht="15">
      <c r="A16" s="2" t="s">
        <v>72</v>
      </c>
      <c r="B16" s="2">
        <f>B12</f>
        <v>10000</v>
      </c>
    </row>
    <row r="17" spans="1:2" ht="15">
      <c r="A17" s="9" t="s">
        <v>75</v>
      </c>
      <c r="B17" s="9">
        <f>B4*B5*B8</f>
        <v>12000</v>
      </c>
    </row>
    <row r="18" spans="1:2" ht="15.75">
      <c r="A18" s="5" t="s">
        <v>73</v>
      </c>
      <c r="B18" s="5">
        <f>B17-B16</f>
        <v>2000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6.00390625" style="2" customWidth="1"/>
    <col min="2" max="16384" width="11.421875" style="2" customWidth="1"/>
  </cols>
  <sheetData>
    <row r="1" ht="20.25">
      <c r="A1" s="1" t="s">
        <v>76</v>
      </c>
    </row>
    <row r="4" spans="1:2" ht="15">
      <c r="A4" s="2" t="s">
        <v>77</v>
      </c>
      <c r="B4" s="7">
        <v>2</v>
      </c>
    </row>
    <row r="5" spans="1:2" ht="15">
      <c r="A5" s="2" t="s">
        <v>78</v>
      </c>
      <c r="B5" s="7">
        <v>20</v>
      </c>
    </row>
    <row r="6" spans="1:2" ht="15">
      <c r="A6" s="2" t="s">
        <v>79</v>
      </c>
      <c r="B6" s="7">
        <v>2</v>
      </c>
    </row>
    <row r="7" spans="1:2" ht="15">
      <c r="A7" s="2" t="s">
        <v>24</v>
      </c>
      <c r="B7" s="2">
        <v>9500</v>
      </c>
    </row>
    <row r="8" spans="1:2" ht="15">
      <c r="A8" s="2" t="s">
        <v>80</v>
      </c>
      <c r="B8" s="2">
        <v>20200</v>
      </c>
    </row>
    <row r="9" spans="1:2" ht="15">
      <c r="A9" s="2" t="s">
        <v>81</v>
      </c>
      <c r="B9" s="2">
        <v>420000</v>
      </c>
    </row>
    <row r="10" spans="1:2" ht="15">
      <c r="A10" s="2" t="s">
        <v>82</v>
      </c>
      <c r="B10" s="2">
        <v>10000</v>
      </c>
    </row>
    <row r="12" ht="15.75">
      <c r="A12" s="5" t="s">
        <v>83</v>
      </c>
    </row>
    <row r="13" spans="1:2" ht="15">
      <c r="A13" s="2" t="s">
        <v>84</v>
      </c>
      <c r="B13" s="2">
        <f>B9</f>
        <v>420000</v>
      </c>
    </row>
    <row r="14" spans="1:2" ht="15">
      <c r="A14" s="9" t="s">
        <v>85</v>
      </c>
      <c r="B14" s="9">
        <f>B10*B4*B5</f>
        <v>400000</v>
      </c>
    </row>
    <row r="15" spans="1:2" ht="15.75">
      <c r="A15" s="5" t="s">
        <v>83</v>
      </c>
      <c r="B15" s="5">
        <f>B14-B13</f>
        <v>-20000</v>
      </c>
    </row>
    <row r="17" ht="15.75">
      <c r="A17" s="5" t="s">
        <v>44</v>
      </c>
    </row>
    <row r="18" spans="1:2" ht="15">
      <c r="A18" s="2" t="s">
        <v>85</v>
      </c>
      <c r="B18" s="2">
        <f>B14</f>
        <v>400000</v>
      </c>
    </row>
    <row r="19" spans="1:2" ht="15">
      <c r="A19" s="9" t="s">
        <v>86</v>
      </c>
      <c r="B19" s="9">
        <f>B7*B4*B5</f>
        <v>380000</v>
      </c>
    </row>
    <row r="20" spans="1:2" ht="15.75">
      <c r="A20" s="5" t="s">
        <v>44</v>
      </c>
      <c r="B20" s="5">
        <f>B19-B18</f>
        <v>-20000</v>
      </c>
    </row>
    <row r="22" ht="15">
      <c r="A22" s="2" t="s">
        <v>88</v>
      </c>
    </row>
    <row r="23" spans="1:2" ht="15.75">
      <c r="A23" s="5" t="s">
        <v>87</v>
      </c>
      <c r="B23" s="5">
        <f>(B7*B4-B8)*B5</f>
        <v>-24000</v>
      </c>
    </row>
    <row r="24" spans="1:2" ht="15.75">
      <c r="A24" s="5" t="s">
        <v>89</v>
      </c>
      <c r="B24" s="5">
        <f>(B8-B10*B4)*B5</f>
        <v>4000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9.7109375" style="2" customWidth="1"/>
    <col min="2" max="2" width="11.421875" style="2" customWidth="1"/>
    <col min="3" max="3" width="5.7109375" style="2" bestFit="1" customWidth="1"/>
    <col min="4" max="4" width="3.8515625" style="2" bestFit="1" customWidth="1"/>
    <col min="5" max="5" width="3.140625" style="2" bestFit="1" customWidth="1"/>
    <col min="6" max="6" width="3.8515625" style="2" bestFit="1" customWidth="1"/>
    <col min="7" max="16384" width="11.421875" style="2" customWidth="1"/>
  </cols>
  <sheetData>
    <row r="1" ht="20.25">
      <c r="A1" s="1" t="s">
        <v>90</v>
      </c>
    </row>
    <row r="4" ht="15">
      <c r="A4" s="18" t="s">
        <v>94</v>
      </c>
    </row>
    <row r="5" spans="1:7" ht="15">
      <c r="A5" s="2" t="s">
        <v>92</v>
      </c>
      <c r="B5" s="17">
        <v>2</v>
      </c>
      <c r="C5" s="2" t="s">
        <v>95</v>
      </c>
      <c r="D5" s="2">
        <v>6</v>
      </c>
      <c r="E5" s="2" t="s">
        <v>96</v>
      </c>
      <c r="F5" s="2">
        <f>B5*D5</f>
        <v>12</v>
      </c>
      <c r="G5" s="2" t="s">
        <v>97</v>
      </c>
    </row>
    <row r="6" spans="1:7" ht="15">
      <c r="A6" s="2" t="s">
        <v>93</v>
      </c>
      <c r="B6" s="17">
        <v>2</v>
      </c>
      <c r="C6" s="2" t="s">
        <v>95</v>
      </c>
      <c r="D6" s="2">
        <v>20</v>
      </c>
      <c r="E6" s="2" t="s">
        <v>96</v>
      </c>
      <c r="F6" s="2">
        <f>B6*D6</f>
        <v>40</v>
      </c>
      <c r="G6" s="2" t="s">
        <v>97</v>
      </c>
    </row>
    <row r="7" ht="15">
      <c r="A7" s="18" t="s">
        <v>98</v>
      </c>
    </row>
    <row r="8" spans="1:2" ht="15">
      <c r="A8" s="2" t="s">
        <v>24</v>
      </c>
      <c r="B8" s="2">
        <v>9500</v>
      </c>
    </row>
    <row r="9" spans="1:2" ht="15">
      <c r="A9" s="2" t="s">
        <v>82</v>
      </c>
      <c r="B9" s="2">
        <v>10000</v>
      </c>
    </row>
    <row r="10" spans="1:2" ht="15">
      <c r="A10" s="2" t="s">
        <v>92</v>
      </c>
      <c r="B10" s="2">
        <v>115000</v>
      </c>
    </row>
    <row r="11" spans="1:2" ht="15">
      <c r="A11" s="2" t="s">
        <v>93</v>
      </c>
      <c r="B11" s="2">
        <v>420000</v>
      </c>
    </row>
    <row r="12" spans="1:2" ht="15">
      <c r="A12" s="2" t="s">
        <v>99</v>
      </c>
      <c r="B12" s="2">
        <v>20200</v>
      </c>
    </row>
    <row r="14" ht="15.75">
      <c r="A14" s="19" t="s">
        <v>100</v>
      </c>
    </row>
    <row r="16" ht="15">
      <c r="A16" s="2" t="s">
        <v>101</v>
      </c>
    </row>
    <row r="17" spans="1:2" ht="15">
      <c r="A17" s="2" t="s">
        <v>102</v>
      </c>
      <c r="B17" s="2">
        <f>B10+B11</f>
        <v>535000</v>
      </c>
    </row>
    <row r="18" spans="1:2" ht="15">
      <c r="A18" s="9" t="s">
        <v>103</v>
      </c>
      <c r="B18" s="9">
        <f>B8*(F5+F6)</f>
        <v>494000</v>
      </c>
    </row>
    <row r="19" spans="1:2" ht="15.75">
      <c r="A19" s="5" t="s">
        <v>101</v>
      </c>
      <c r="B19" s="5">
        <f>B18-B17</f>
        <v>-41000</v>
      </c>
    </row>
    <row r="21" ht="15.75">
      <c r="A21" s="19" t="s">
        <v>104</v>
      </c>
    </row>
    <row r="23" ht="15">
      <c r="A23" s="2" t="s">
        <v>105</v>
      </c>
    </row>
    <row r="24" spans="1:2" ht="15">
      <c r="A24" s="2" t="s">
        <v>102</v>
      </c>
      <c r="B24" s="2">
        <f>B17</f>
        <v>535000</v>
      </c>
    </row>
    <row r="25" ht="15">
      <c r="A25" s="2" t="s">
        <v>107</v>
      </c>
    </row>
    <row r="26" ht="15">
      <c r="A26" s="2" t="s">
        <v>17</v>
      </c>
    </row>
    <row r="27" spans="1:2" ht="15">
      <c r="A27" s="2" t="s">
        <v>93</v>
      </c>
      <c r="B27" s="2">
        <f>B9*F6</f>
        <v>400000</v>
      </c>
    </row>
    <row r="28" spans="1:2" ht="15">
      <c r="A28" s="9" t="s">
        <v>19</v>
      </c>
      <c r="B28" s="9">
        <f>B8*F5</f>
        <v>114000</v>
      </c>
    </row>
    <row r="29" ht="15">
      <c r="B29" s="2">
        <f>SUM(B27:B28)</f>
        <v>514000</v>
      </c>
    </row>
    <row r="30" spans="1:2" ht="15.75">
      <c r="A30" s="5" t="s">
        <v>105</v>
      </c>
      <c r="B30" s="5">
        <f>B29-B24</f>
        <v>-21000</v>
      </c>
    </row>
    <row r="32" ht="15">
      <c r="A32" s="2" t="s">
        <v>44</v>
      </c>
    </row>
    <row r="33" spans="1:2" ht="15">
      <c r="A33" s="2" t="s">
        <v>103</v>
      </c>
      <c r="B33" s="2">
        <f>B18</f>
        <v>494000</v>
      </c>
    </row>
    <row r="34" ht="15">
      <c r="A34" s="2" t="s">
        <v>107</v>
      </c>
    </row>
    <row r="35" spans="1:2" ht="15">
      <c r="A35" s="9" t="s">
        <v>17</v>
      </c>
      <c r="B35" s="9">
        <f>B29</f>
        <v>514000</v>
      </c>
    </row>
    <row r="36" spans="1:2" ht="15.75">
      <c r="A36" s="5" t="s">
        <v>44</v>
      </c>
      <c r="B36" s="5">
        <f>B33-B35</f>
        <v>-20000</v>
      </c>
    </row>
    <row r="38" ht="15.75">
      <c r="A38" s="19" t="s">
        <v>108</v>
      </c>
    </row>
    <row r="40" ht="15">
      <c r="A40" s="2" t="s">
        <v>109</v>
      </c>
    </row>
    <row r="41" spans="1:2" ht="15">
      <c r="A41" s="2" t="s">
        <v>102</v>
      </c>
      <c r="B41" s="2">
        <f>B24</f>
        <v>535000</v>
      </c>
    </row>
    <row r="42" ht="15">
      <c r="A42" s="2" t="s">
        <v>107</v>
      </c>
    </row>
    <row r="43" ht="15">
      <c r="A43" s="2" t="s">
        <v>110</v>
      </c>
    </row>
    <row r="44" spans="1:2" ht="15">
      <c r="A44" s="2" t="s">
        <v>93</v>
      </c>
      <c r="B44" s="2">
        <f>B27</f>
        <v>400000</v>
      </c>
    </row>
    <row r="45" spans="1:2" ht="15">
      <c r="A45" s="9" t="s">
        <v>19</v>
      </c>
      <c r="B45" s="9">
        <f>B12*D5</f>
        <v>121200</v>
      </c>
    </row>
    <row r="46" ht="15">
      <c r="B46" s="2">
        <f>SUM(B44:B45)</f>
        <v>521200</v>
      </c>
    </row>
    <row r="47" spans="1:2" ht="15.75">
      <c r="A47" s="5" t="s">
        <v>109</v>
      </c>
      <c r="B47" s="5">
        <f>B46-B41</f>
        <v>-13800</v>
      </c>
    </row>
    <row r="49" ht="15">
      <c r="A49" s="2" t="s">
        <v>111</v>
      </c>
    </row>
    <row r="50" ht="15">
      <c r="A50" s="2" t="s">
        <v>106</v>
      </c>
    </row>
    <row r="51" spans="1:2" ht="15">
      <c r="A51" s="2" t="s">
        <v>110</v>
      </c>
      <c r="B51" s="2">
        <f>B46</f>
        <v>521200</v>
      </c>
    </row>
    <row r="52" ht="15">
      <c r="A52" s="2" t="s">
        <v>106</v>
      </c>
    </row>
    <row r="53" spans="1:2" ht="15">
      <c r="A53" s="9" t="s">
        <v>17</v>
      </c>
      <c r="B53" s="9">
        <f>B35</f>
        <v>514000</v>
      </c>
    </row>
    <row r="54" spans="1:2" ht="15.75">
      <c r="A54" s="5" t="s">
        <v>111</v>
      </c>
      <c r="B54" s="5">
        <f>B53-B51</f>
        <v>-7200</v>
      </c>
    </row>
    <row r="56" ht="15">
      <c r="A56" s="2" t="s">
        <v>44</v>
      </c>
    </row>
    <row r="57" ht="15">
      <c r="A57" s="2" t="s">
        <v>106</v>
      </c>
    </row>
    <row r="58" spans="1:2" ht="15">
      <c r="A58" s="2" t="s">
        <v>17</v>
      </c>
      <c r="B58" s="2">
        <f>B53</f>
        <v>514000</v>
      </c>
    </row>
    <row r="59" spans="1:2" ht="15">
      <c r="A59" s="9" t="s">
        <v>103</v>
      </c>
      <c r="B59" s="9">
        <f>B33</f>
        <v>494000</v>
      </c>
    </row>
    <row r="60" spans="1:2" ht="15.75">
      <c r="A60" s="5" t="s">
        <v>44</v>
      </c>
      <c r="B60" s="5">
        <f>B59-B58</f>
        <v>-20000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Dr. Hörmann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Hörmann</dc:creator>
  <cp:keywords/>
  <dc:description/>
  <cp:lastModifiedBy>Dr. Hörmann</cp:lastModifiedBy>
  <dcterms:created xsi:type="dcterms:W3CDTF">2000-05-26T16:43:24Z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